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45" windowHeight="6750" tabRatio="599" firstSheet="2" activeTab="2"/>
  </bookViews>
  <sheets>
    <sheet name="chitietnopNGANSACH (R)" sheetId="1" state="hidden" r:id="rId1"/>
    <sheet name="BIEU 11-BANGTIEUTHU (R)" sheetId="2" state="hidden" r:id="rId2"/>
    <sheet name="B 02-DN KQKD moi (R)" sheetId="3" r:id="rId3"/>
    <sheet name="BIEU 02-Bang CDSPS (R)" sheetId="4" state="hidden" r:id="rId4"/>
    <sheet name="B 09-DN TM BAOCAO" sheetId="5" r:id="rId5"/>
    <sheet name="B 01-DN CD KETOAN (R)" sheetId="6" r:id="rId6"/>
    <sheet name="B 03-DN LUUCHUYENTIENTEtructiep" sheetId="7" r:id="rId7"/>
    <sheet name="chitieu coban" sheetId="8" r:id="rId8"/>
  </sheets>
  <definedNames>
    <definedName name="_xlnm.Print_Titles" localSheetId="3">'BIEU 02-Bang CDSPS (R)'!$5:$6</definedName>
    <definedName name="_xlnm.Print_Titles" localSheetId="1">'BIEU 11-BANGTIEUTHU (R)'!$4:$6</definedName>
  </definedNames>
  <calcPr fullCalcOnLoad="1"/>
</workbook>
</file>

<file path=xl/comments2.xml><?xml version="1.0" encoding="utf-8"?>
<comments xmlns="http://schemas.openxmlformats.org/spreadsheetml/2006/main">
  <authors>
    <author>VNN.R9</author>
  </authors>
  <commentList>
    <comment ref="E19" authorId="0">
      <text>
        <r>
          <rPr>
            <b/>
            <sz val="8"/>
            <rFont val="Tahoma"/>
            <family val="0"/>
          </rPr>
          <t>VNN.R9:</t>
        </r>
        <r>
          <rPr>
            <sz val="8"/>
            <rFont val="Tahoma"/>
            <family val="0"/>
          </rPr>
          <t xml:space="preserve">
</t>
        </r>
        <r>
          <rPr>
            <sz val="10"/>
            <rFont val="Tahoma"/>
            <family val="2"/>
          </rPr>
          <t>AVA : 234.107.547</t>
        </r>
      </text>
    </comment>
  </commentList>
</comments>
</file>

<file path=xl/comments4.xml><?xml version="1.0" encoding="utf-8"?>
<comments xmlns="http://schemas.openxmlformats.org/spreadsheetml/2006/main">
  <authors>
    <author>VNN.R9</author>
  </authors>
  <commentList>
    <comment ref="L289" authorId="0">
      <text>
        <r>
          <rPr>
            <b/>
            <sz val="8"/>
            <rFont val="Tahoma"/>
            <family val="0"/>
          </rPr>
          <t>VNN.R9:</t>
        </r>
        <r>
          <rPr>
            <sz val="8"/>
            <rFont val="Tahoma"/>
            <family val="0"/>
          </rPr>
          <t xml:space="preserve">
</t>
        </r>
        <r>
          <rPr>
            <sz val="11"/>
            <rFont val="Tahoma"/>
            <family val="2"/>
          </rPr>
          <t xml:space="preserve">941.660.948 (nha cua, VKT)
    8.970.000 (hoi truong Ben Cui)
    3.039.171 (giao thong cho thanh ly)
    4.599.000 (TSCD khong khau hao)
                   0 (HT dien mu tap)
</t>
        </r>
        <r>
          <rPr>
            <sz val="8"/>
            <rFont val="Tahoma"/>
            <family val="0"/>
          </rPr>
          <t xml:space="preserve">
</t>
        </r>
      </text>
    </comment>
    <comment ref="D289" authorId="0">
      <text>
        <r>
          <rPr>
            <b/>
            <sz val="8"/>
            <rFont val="Tahoma"/>
            <family val="0"/>
          </rPr>
          <t>VNN.R9:</t>
        </r>
        <r>
          <rPr>
            <sz val="8"/>
            <rFont val="Tahoma"/>
            <family val="0"/>
          </rPr>
          <t xml:space="preserve">
</t>
        </r>
        <r>
          <rPr>
            <sz val="11"/>
            <rFont val="Tahoma"/>
            <family val="2"/>
          </rPr>
          <t xml:space="preserve">941.660.948 (nha cua, VKT)
    8.970.000 (hoi truong Ben Cui)
    3.039.171 (giao thong cho thanh ly)
    4.599.000 (TSCD khong khau hao)
                   0 (HT dien mu tap)
</t>
        </r>
        <r>
          <rPr>
            <sz val="8"/>
            <rFont val="Tahoma"/>
            <family val="0"/>
          </rPr>
          <t xml:space="preserve">
</t>
        </r>
      </text>
    </comment>
  </commentList>
</comments>
</file>

<file path=xl/comments5.xml><?xml version="1.0" encoding="utf-8"?>
<comments xmlns="http://schemas.openxmlformats.org/spreadsheetml/2006/main">
  <authors>
    <author>VNN.R9</author>
    <author>ANH AN</author>
  </authors>
  <commentList>
    <comment ref="F557" authorId="0">
      <text>
        <r>
          <rPr>
            <b/>
            <sz val="8"/>
            <rFont val="Tahoma"/>
            <family val="0"/>
          </rPr>
          <t>VNN.R9:</t>
        </r>
        <r>
          <rPr>
            <sz val="8"/>
            <rFont val="Tahoma"/>
            <family val="0"/>
          </rPr>
          <t xml:space="preserve">
gia cong mu
van chuyen
gia congkiem pham</t>
        </r>
      </text>
    </comment>
    <comment ref="F556" authorId="0">
      <text>
        <r>
          <rPr>
            <b/>
            <sz val="8"/>
            <rFont val="Tahoma"/>
            <family val="0"/>
          </rPr>
          <t>VNN.R9:</t>
        </r>
        <r>
          <rPr>
            <sz val="8"/>
            <rFont val="Tahoma"/>
            <family val="0"/>
          </rPr>
          <t xml:space="preserve">
SXKD</t>
        </r>
      </text>
    </comment>
    <comment ref="F580" authorId="0">
      <text>
        <r>
          <rPr>
            <b/>
            <sz val="8"/>
            <rFont val="Tahoma"/>
            <family val="0"/>
          </rPr>
          <t>VNN.R9:</t>
        </r>
        <r>
          <rPr>
            <sz val="8"/>
            <rFont val="Tahoma"/>
            <family val="0"/>
          </rPr>
          <t xml:space="preserve">
gia cong mu
van chuyen
gia cong kiem pham</t>
        </r>
      </text>
    </comment>
    <comment ref="G556" authorId="0">
      <text>
        <r>
          <rPr>
            <b/>
            <sz val="8"/>
            <rFont val="Tahoma"/>
            <family val="0"/>
          </rPr>
          <t>VNN.R9:</t>
        </r>
        <r>
          <rPr>
            <sz val="8"/>
            <rFont val="Tahoma"/>
            <family val="0"/>
          </rPr>
          <t xml:space="preserve">
SXKD</t>
        </r>
      </text>
    </comment>
    <comment ref="G557" authorId="0">
      <text>
        <r>
          <rPr>
            <b/>
            <sz val="8"/>
            <rFont val="Tahoma"/>
            <family val="0"/>
          </rPr>
          <t>VNN.R9:</t>
        </r>
        <r>
          <rPr>
            <sz val="8"/>
            <rFont val="Tahoma"/>
            <family val="0"/>
          </rPr>
          <t xml:space="preserve">
gia cong mu
van chuyen
gia congkiem pham</t>
        </r>
      </text>
    </comment>
    <comment ref="G558" authorId="0">
      <text>
        <r>
          <rPr>
            <b/>
            <sz val="8"/>
            <rFont val="Tahoma"/>
            <family val="0"/>
          </rPr>
          <t>VNN.R9:</t>
        </r>
        <r>
          <rPr>
            <sz val="8"/>
            <rFont val="Tahoma"/>
            <family val="0"/>
          </rPr>
          <t xml:space="preserve">
congtrinhngoai 
</t>
        </r>
      </text>
    </comment>
    <comment ref="G580" authorId="0">
      <text>
        <r>
          <rPr>
            <b/>
            <sz val="8"/>
            <rFont val="Tahoma"/>
            <family val="0"/>
          </rPr>
          <t>VNN.R9:</t>
        </r>
        <r>
          <rPr>
            <sz val="8"/>
            <rFont val="Tahoma"/>
            <family val="0"/>
          </rPr>
          <t xml:space="preserve">
gia cong mu
van chuyen
gia cong kiem pham</t>
        </r>
      </text>
    </comment>
    <comment ref="G578" authorId="0">
      <text>
        <r>
          <rPr>
            <b/>
            <sz val="8"/>
            <rFont val="Tahoma"/>
            <family val="0"/>
          </rPr>
          <t>VNN.R9:</t>
        </r>
        <r>
          <rPr>
            <sz val="8"/>
            <rFont val="Tahoma"/>
            <family val="0"/>
          </rPr>
          <t xml:space="preserve">
VAT TU
NHIN LIEU</t>
        </r>
      </text>
    </comment>
    <comment ref="F578" authorId="0">
      <text>
        <r>
          <rPr>
            <b/>
            <sz val="8"/>
            <rFont val="Tahoma"/>
            <family val="0"/>
          </rPr>
          <t>VNN.R9:</t>
        </r>
        <r>
          <rPr>
            <sz val="8"/>
            <rFont val="Tahoma"/>
            <family val="0"/>
          </rPr>
          <t xml:space="preserve">
</t>
        </r>
        <r>
          <rPr>
            <sz val="12"/>
            <rFont val="Tahoma"/>
            <family val="2"/>
          </rPr>
          <t>VAT TU
CHXD</t>
        </r>
      </text>
    </comment>
    <comment ref="F558" authorId="0">
      <text>
        <r>
          <rPr>
            <b/>
            <sz val="8"/>
            <rFont val="Tahoma"/>
            <family val="0"/>
          </rPr>
          <t>VNN.R9:</t>
        </r>
        <r>
          <rPr>
            <sz val="8"/>
            <rFont val="Tahoma"/>
            <family val="0"/>
          </rPr>
          <t xml:space="preserve">
CONG TRINH NGOAI</t>
        </r>
      </text>
    </comment>
    <comment ref="F539" authorId="0">
      <text>
        <r>
          <rPr>
            <b/>
            <sz val="8"/>
            <rFont val="Tahoma"/>
            <family val="0"/>
          </rPr>
          <t>VNN.R9:</t>
        </r>
        <r>
          <rPr>
            <sz val="8"/>
            <rFont val="Tahoma"/>
            <family val="0"/>
          </rPr>
          <t xml:space="preserve">
</t>
        </r>
        <r>
          <rPr>
            <sz val="12"/>
            <rFont val="Tahoma"/>
            <family val="2"/>
          </rPr>
          <t>PS no trong ky 461 
PS no trong ky 161</t>
        </r>
      </text>
    </comment>
    <comment ref="F538" authorId="0">
      <text>
        <r>
          <rPr>
            <b/>
            <sz val="8"/>
            <rFont val="Tahoma"/>
            <family val="0"/>
          </rPr>
          <t>VNN.R9:</t>
        </r>
        <r>
          <rPr>
            <sz val="8"/>
            <rFont val="Tahoma"/>
            <family val="0"/>
          </rPr>
          <t xml:space="preserve">
</t>
        </r>
        <r>
          <rPr>
            <sz val="12"/>
            <rFont val="Tahoma"/>
            <family val="2"/>
          </rPr>
          <t>PS co TK 461</t>
        </r>
      </text>
    </comment>
    <comment ref="F216" authorId="0">
      <text>
        <r>
          <rPr>
            <b/>
            <sz val="8"/>
            <rFont val="Tahoma"/>
            <family val="0"/>
          </rPr>
          <t>VNN.R9:</t>
        </r>
        <r>
          <rPr>
            <sz val="8"/>
            <rFont val="Tahoma"/>
            <family val="0"/>
          </rPr>
          <t xml:space="preserve">
</t>
        </r>
        <r>
          <rPr>
            <sz val="12"/>
            <rFont val="Tahoma"/>
            <family val="2"/>
          </rPr>
          <t>ma so 135 BCDKT</t>
        </r>
      </text>
    </comment>
    <comment ref="F431" authorId="0">
      <text>
        <r>
          <rPr>
            <b/>
            <sz val="8"/>
            <rFont val="Tahoma"/>
            <family val="0"/>
          </rPr>
          <t>VNN.R9:</t>
        </r>
        <r>
          <rPr>
            <sz val="8"/>
            <rFont val="Tahoma"/>
            <family val="0"/>
          </rPr>
          <t xml:space="preserve">
</t>
        </r>
        <r>
          <rPr>
            <sz val="12"/>
            <rFont val="Tahoma"/>
            <family val="2"/>
          </rPr>
          <t>ma so 319 BCDKT</t>
        </r>
      </text>
    </comment>
    <comment ref="F676" authorId="0">
      <text>
        <r>
          <rPr>
            <b/>
            <sz val="8"/>
            <rFont val="Tahoma"/>
            <family val="0"/>
          </rPr>
          <t>VNN.R9:</t>
        </r>
        <r>
          <rPr>
            <sz val="8"/>
            <rFont val="Tahoma"/>
            <family val="0"/>
          </rPr>
          <t xml:space="preserve">
XN CBNS 2.688.578</t>
        </r>
      </text>
    </comment>
    <comment ref="G431" authorId="0">
      <text>
        <r>
          <rPr>
            <b/>
            <sz val="8"/>
            <rFont val="Tahoma"/>
            <family val="0"/>
          </rPr>
          <t>VNN.R9:</t>
        </r>
        <r>
          <rPr>
            <sz val="8"/>
            <rFont val="Tahoma"/>
            <family val="0"/>
          </rPr>
          <t xml:space="preserve">
</t>
        </r>
        <r>
          <rPr>
            <sz val="12"/>
            <rFont val="Tahoma"/>
            <family val="2"/>
          </rPr>
          <t>ma so 319 BCDKT</t>
        </r>
      </text>
    </comment>
    <comment ref="G216" authorId="0">
      <text>
        <r>
          <rPr>
            <b/>
            <sz val="8"/>
            <rFont val="Tahoma"/>
            <family val="0"/>
          </rPr>
          <t>VNN.R9:</t>
        </r>
        <r>
          <rPr>
            <sz val="8"/>
            <rFont val="Tahoma"/>
            <family val="0"/>
          </rPr>
          <t xml:space="preserve">
</t>
        </r>
        <r>
          <rPr>
            <sz val="12"/>
            <rFont val="Tahoma"/>
            <family val="2"/>
          </rPr>
          <t>ma so 135 BCDKT</t>
        </r>
      </text>
    </comment>
    <comment ref="F260" authorId="0">
      <text>
        <r>
          <rPr>
            <b/>
            <sz val="8"/>
            <rFont val="Tahoma"/>
            <family val="0"/>
          </rPr>
          <t>VNN.R9:</t>
        </r>
        <r>
          <rPr>
            <sz val="8"/>
            <rFont val="Tahoma"/>
            <family val="0"/>
          </rPr>
          <t xml:space="preserve">
cay lau nam
TSCD khong khau hao
TSCD QPL</t>
        </r>
      </text>
    </comment>
    <comment ref="F585" authorId="0">
      <text>
        <r>
          <rPr>
            <b/>
            <sz val="8"/>
            <rFont val="Tahoma"/>
            <family val="0"/>
          </rPr>
          <t>VNN.R9:</t>
        </r>
        <r>
          <rPr>
            <sz val="8"/>
            <rFont val="Tahoma"/>
            <family val="0"/>
          </rPr>
          <t xml:space="preserve">
</t>
        </r>
        <r>
          <rPr>
            <sz val="10"/>
            <rFont val="Tahoma"/>
            <family val="2"/>
          </rPr>
          <t>5115001
5115002
tru ky phieu</t>
        </r>
      </text>
    </comment>
    <comment ref="F586" authorId="0">
      <text>
        <r>
          <rPr>
            <b/>
            <sz val="8"/>
            <rFont val="Tahoma"/>
            <family val="0"/>
          </rPr>
          <t>VNN.R9:</t>
        </r>
        <r>
          <rPr>
            <sz val="8"/>
            <rFont val="Tahoma"/>
            <family val="0"/>
          </rPr>
          <t xml:space="preserve">
</t>
        </r>
        <r>
          <rPr>
            <sz val="10"/>
            <rFont val="Tahoma"/>
            <family val="2"/>
          </rPr>
          <t xml:space="preserve">5115011
</t>
        </r>
      </text>
    </comment>
    <comment ref="F588" authorId="0">
      <text>
        <r>
          <rPr>
            <b/>
            <sz val="8"/>
            <rFont val="Tahoma"/>
            <family val="0"/>
          </rPr>
          <t>VNN.R9:</t>
        </r>
        <r>
          <rPr>
            <sz val="8"/>
            <rFont val="Tahoma"/>
            <family val="0"/>
          </rPr>
          <t xml:space="preserve">
</t>
        </r>
        <r>
          <rPr>
            <sz val="10"/>
            <rFont val="Tahoma"/>
            <family val="2"/>
          </rPr>
          <t xml:space="preserve">5115003
</t>
        </r>
      </text>
    </comment>
    <comment ref="F590" authorId="0">
      <text>
        <r>
          <rPr>
            <b/>
            <sz val="8"/>
            <rFont val="Tahoma"/>
            <family val="0"/>
          </rPr>
          <t>VNN.R9:</t>
        </r>
        <r>
          <rPr>
            <sz val="8"/>
            <rFont val="Tahoma"/>
            <family val="0"/>
          </rPr>
          <t xml:space="preserve">
</t>
        </r>
        <r>
          <rPr>
            <sz val="10"/>
            <rFont val="Tahoma"/>
            <family val="2"/>
          </rPr>
          <t xml:space="preserve">5115004
</t>
        </r>
      </text>
    </comment>
    <comment ref="F591" authorId="0">
      <text>
        <r>
          <rPr>
            <b/>
            <sz val="8"/>
            <rFont val="Tahoma"/>
            <family val="0"/>
          </rPr>
          <t>VNN.R9:</t>
        </r>
        <r>
          <rPr>
            <sz val="8"/>
            <rFont val="Tahoma"/>
            <family val="0"/>
          </rPr>
          <t xml:space="preserve">
</t>
        </r>
        <r>
          <rPr>
            <sz val="10"/>
            <rFont val="Tahoma"/>
            <family val="2"/>
          </rPr>
          <t xml:space="preserve">5115005
</t>
        </r>
      </text>
    </comment>
    <comment ref="F593" authorId="0">
      <text>
        <r>
          <rPr>
            <b/>
            <sz val="8"/>
            <rFont val="Tahoma"/>
            <family val="0"/>
          </rPr>
          <t>VNN.R9:</t>
        </r>
        <r>
          <rPr>
            <sz val="8"/>
            <rFont val="Tahoma"/>
            <family val="0"/>
          </rPr>
          <t xml:space="preserve">
</t>
        </r>
        <r>
          <rPr>
            <sz val="10"/>
            <rFont val="Tahoma"/>
            <family val="2"/>
          </rPr>
          <t>5115006
5115007
5115008
5115009
5115010
5115012
5115013
5115014
5115015</t>
        </r>
      </text>
    </comment>
    <comment ref="F380" authorId="0">
      <text>
        <r>
          <rPr>
            <b/>
            <sz val="8"/>
            <rFont val="Tahoma"/>
            <family val="0"/>
          </rPr>
          <t>VNN.R9:</t>
        </r>
        <r>
          <rPr>
            <sz val="8"/>
            <rFont val="Tahoma"/>
            <family val="0"/>
          </rPr>
          <t xml:space="preserve">
ca nhan 3.835.000.000</t>
        </r>
      </text>
    </comment>
    <comment ref="F682" authorId="0">
      <text>
        <r>
          <rPr>
            <b/>
            <sz val="8"/>
            <rFont val="Tahoma"/>
            <family val="0"/>
          </rPr>
          <t>VNN.R9:</t>
        </r>
        <r>
          <rPr>
            <sz val="8"/>
            <rFont val="Tahoma"/>
            <family val="0"/>
          </rPr>
          <t xml:space="preserve">
nam sau phanphoi 1.330.375.429</t>
        </r>
      </text>
    </comment>
    <comment ref="F624" authorId="0">
      <text>
        <r>
          <rPr>
            <b/>
            <sz val="8"/>
            <rFont val="Tahoma"/>
            <family val="0"/>
          </rPr>
          <t>VNN.R9:</t>
        </r>
        <r>
          <rPr>
            <sz val="8"/>
            <rFont val="Tahoma"/>
            <family val="0"/>
          </rPr>
          <t xml:space="preserve">
KHCB CHXD
</t>
        </r>
      </text>
    </comment>
    <comment ref="F555" authorId="0">
      <text>
        <r>
          <rPr>
            <b/>
            <sz val="8"/>
            <rFont val="Tahoma"/>
            <family val="0"/>
          </rPr>
          <t>VNN.R9:</t>
        </r>
        <r>
          <rPr>
            <sz val="8"/>
            <rFont val="Tahoma"/>
            <family val="0"/>
          </rPr>
          <t xml:space="preserve">
VAT TU
NHIEN LIEU</t>
        </r>
      </text>
    </comment>
    <comment ref="G555" authorId="0">
      <text>
        <r>
          <rPr>
            <b/>
            <sz val="8"/>
            <rFont val="Tahoma"/>
            <family val="0"/>
          </rPr>
          <t>VNN.R9:</t>
        </r>
        <r>
          <rPr>
            <sz val="8"/>
            <rFont val="Tahoma"/>
            <family val="0"/>
          </rPr>
          <t xml:space="preserve">
VAT TU
NHIEN LIEU</t>
        </r>
      </text>
    </comment>
    <comment ref="G552" authorId="1">
      <text>
        <r>
          <rPr>
            <b/>
            <sz val="8"/>
            <rFont val="Tahoma"/>
            <family val="0"/>
          </rPr>
          <t xml:space="preserve">ANH AN: </t>
        </r>
        <r>
          <rPr>
            <sz val="8"/>
            <rFont val="Tahoma"/>
            <family val="0"/>
          </rPr>
          <t xml:space="preserve">
</t>
        </r>
        <r>
          <rPr>
            <sz val="15"/>
            <rFont val="Tahoma"/>
            <family val="2"/>
          </rPr>
          <t xml:space="preserve">BANG TIEU  THU  CHE COT 2008 </t>
        </r>
      </text>
    </comment>
  </commentList>
</comments>
</file>

<file path=xl/comments6.xml><?xml version="1.0" encoding="utf-8"?>
<comments xmlns="http://schemas.openxmlformats.org/spreadsheetml/2006/main">
  <authors>
    <author>VNN.R9</author>
  </authors>
  <commentList>
    <comment ref="D80" authorId="0">
      <text>
        <r>
          <rPr>
            <b/>
            <sz val="8"/>
            <rFont val="Tahoma"/>
            <family val="0"/>
          </rPr>
          <t>VNN.R9:</t>
        </r>
        <r>
          <rPr>
            <sz val="8"/>
            <rFont val="Tahoma"/>
            <family val="0"/>
          </rPr>
          <t xml:space="preserve">
</t>
        </r>
        <r>
          <rPr>
            <sz val="12"/>
            <rFont val="Tahoma"/>
            <family val="2"/>
          </rPr>
          <t xml:space="preserve">co 138:                    
co 338: </t>
        </r>
      </text>
    </comment>
    <comment ref="D78" authorId="0">
      <text>
        <r>
          <rPr>
            <b/>
            <sz val="8"/>
            <rFont val="Tahoma"/>
            <family val="0"/>
          </rPr>
          <t>VNN.R9:</t>
        </r>
        <r>
          <rPr>
            <sz val="8"/>
            <rFont val="Tahoma"/>
            <family val="0"/>
          </rPr>
          <t xml:space="preserve">
</t>
        </r>
        <r>
          <rPr>
            <sz val="12"/>
            <rFont val="Tahoma"/>
            <family val="2"/>
          </rPr>
          <t>co 136: 0
co 336: 0</t>
        </r>
      </text>
    </comment>
    <comment ref="D20" authorId="0">
      <text>
        <r>
          <rPr>
            <b/>
            <sz val="8"/>
            <rFont val="Tahoma"/>
            <family val="0"/>
          </rPr>
          <t>VNN.R9:</t>
        </r>
        <r>
          <rPr>
            <sz val="8"/>
            <rFont val="Tahoma"/>
            <family val="0"/>
          </rPr>
          <t xml:space="preserve">
</t>
        </r>
        <r>
          <rPr>
            <sz val="12"/>
            <rFont val="Tahoma"/>
            <family val="2"/>
          </rPr>
          <t xml:space="preserve">no 136: 
no 336:            </t>
        </r>
      </text>
    </comment>
    <comment ref="D22" authorId="0">
      <text>
        <r>
          <rPr>
            <b/>
            <sz val="8"/>
            <rFont val="Tahoma"/>
            <family val="0"/>
          </rPr>
          <t>VNN.R9:</t>
        </r>
        <r>
          <rPr>
            <sz val="8"/>
            <rFont val="Tahoma"/>
            <family val="0"/>
          </rPr>
          <t xml:space="preserve">
</t>
        </r>
        <r>
          <rPr>
            <sz val="12"/>
            <rFont val="Tahoma"/>
            <family val="2"/>
          </rPr>
          <t xml:space="preserve">no 138: 
no 338:      </t>
        </r>
      </text>
    </comment>
    <comment ref="E20" authorId="0">
      <text>
        <r>
          <rPr>
            <b/>
            <sz val="8"/>
            <rFont val="Tahoma"/>
            <family val="0"/>
          </rPr>
          <t>VNN.R9:</t>
        </r>
        <r>
          <rPr>
            <sz val="8"/>
            <rFont val="Tahoma"/>
            <family val="0"/>
          </rPr>
          <t xml:space="preserve">
</t>
        </r>
        <r>
          <rPr>
            <sz val="12"/>
            <rFont val="Tahoma"/>
            <family val="2"/>
          </rPr>
          <t>no 136: 0
no 336: 0</t>
        </r>
      </text>
    </comment>
    <comment ref="E78" authorId="0">
      <text>
        <r>
          <rPr>
            <b/>
            <sz val="8"/>
            <rFont val="Tahoma"/>
            <family val="0"/>
          </rPr>
          <t>VNN.R9:</t>
        </r>
        <r>
          <rPr>
            <sz val="8"/>
            <rFont val="Tahoma"/>
            <family val="0"/>
          </rPr>
          <t xml:space="preserve">
</t>
        </r>
        <r>
          <rPr>
            <sz val="12"/>
            <rFont val="Tahoma"/>
            <family val="2"/>
          </rPr>
          <t>co 136:                       0
co 336: 194.192.681.279</t>
        </r>
      </text>
    </comment>
    <comment ref="D13" authorId="0">
      <text>
        <r>
          <rPr>
            <b/>
            <sz val="8"/>
            <rFont val="Tahoma"/>
            <family val="0"/>
          </rPr>
          <t>VNN.R9:</t>
        </r>
        <r>
          <rPr>
            <sz val="8"/>
            <rFont val="Tahoma"/>
            <family val="0"/>
          </rPr>
          <t xml:space="preserve">
</t>
        </r>
        <r>
          <rPr>
            <sz val="12"/>
            <rFont val="Tahoma"/>
            <family val="2"/>
          </rPr>
          <t>TG co ky han 2.000.000 USD
36.144.751.071:2.342.035,49=15.433</t>
        </r>
      </text>
    </comment>
    <comment ref="E22" authorId="0">
      <text>
        <r>
          <rPr>
            <b/>
            <sz val="8"/>
            <rFont val="Tahoma"/>
            <family val="0"/>
          </rPr>
          <t>VNN.R9:</t>
        </r>
        <r>
          <rPr>
            <sz val="8"/>
            <rFont val="Tahoma"/>
            <family val="0"/>
          </rPr>
          <t xml:space="preserve">
</t>
        </r>
        <r>
          <rPr>
            <sz val="12"/>
            <rFont val="Tahoma"/>
            <family val="2"/>
          </rPr>
          <t>no 138: 13.053.622.109+10.000.000
no 338:         2.663.645</t>
        </r>
      </text>
    </comment>
    <comment ref="E13" authorId="0">
      <text>
        <r>
          <rPr>
            <b/>
            <sz val="8"/>
            <rFont val="Tahoma"/>
            <family val="0"/>
          </rPr>
          <t>VNN.R9:</t>
        </r>
        <r>
          <rPr>
            <sz val="8"/>
            <rFont val="Tahoma"/>
            <family val="0"/>
          </rPr>
          <t xml:space="preserve">
</t>
        </r>
        <r>
          <rPr>
            <sz val="12"/>
            <rFont val="Tahoma"/>
            <family val="2"/>
          </rPr>
          <t xml:space="preserve">chuyen tuong duong tien tu 128
 -DMC 10 ty
 -Tin Thanh 5ty tru da thu 2,886 = 2,114
-Cung 1 ty
</t>
        </r>
      </text>
    </comment>
    <comment ref="E80" authorId="0">
      <text>
        <r>
          <rPr>
            <b/>
            <sz val="8"/>
            <rFont val="Tahoma"/>
            <family val="0"/>
          </rPr>
          <t>VNN.R9:</t>
        </r>
        <r>
          <rPr>
            <sz val="8"/>
            <rFont val="Tahoma"/>
            <family val="0"/>
          </rPr>
          <t xml:space="preserve">
</t>
        </r>
        <r>
          <rPr>
            <sz val="12"/>
            <rFont val="Tahoma"/>
            <family val="2"/>
          </rPr>
          <t>co 138:                      0
co 338: 10.981.984.926+248.899.392+129.969.000+46.959.081</t>
        </r>
      </text>
    </comment>
  </commentList>
</comments>
</file>

<file path=xl/comments7.xml><?xml version="1.0" encoding="utf-8"?>
<comments xmlns="http://schemas.openxmlformats.org/spreadsheetml/2006/main">
  <authors>
    <author>VNN.R9</author>
  </authors>
  <commentList>
    <comment ref="C39" authorId="0">
      <text>
        <r>
          <rPr>
            <b/>
            <sz val="8"/>
            <rFont val="Tahoma"/>
            <family val="0"/>
          </rPr>
          <t>VNN.R9:</t>
        </r>
        <r>
          <rPr>
            <sz val="8"/>
            <rFont val="Tahoma"/>
            <family val="0"/>
          </rPr>
          <t xml:space="preserve">
</t>
        </r>
        <r>
          <rPr>
            <sz val="11"/>
            <rFont val="Tahoma"/>
            <family val="2"/>
          </rPr>
          <t>tru tien cuoi ky ma so 111</t>
        </r>
      </text>
    </comment>
  </commentList>
</comments>
</file>

<file path=xl/sharedStrings.xml><?xml version="1.0" encoding="utf-8"?>
<sst xmlns="http://schemas.openxmlformats.org/spreadsheetml/2006/main" count="1414" uniqueCount="1158">
  <si>
    <t xml:space="preserve"> -Nguyeân taéc vaø phöông phaùp khaáu haobaát ñoäng saûn ñaàu tö.</t>
  </si>
  <si>
    <t xml:space="preserve">   3. Voán khaùc cuûa chuû sôû höõu</t>
  </si>
  <si>
    <t xml:space="preserve">   4. Coå phieáu quyõ</t>
  </si>
  <si>
    <t xml:space="preserve">   5. Cheânh leäch ñaùnh giaù laïi taøi saûn</t>
  </si>
  <si>
    <t xml:space="preserve">   6. Cheânh leäch tyû giaù hoái ñoaùi</t>
  </si>
  <si>
    <t xml:space="preserve">   7. Quyõ ñaàu tö phaùt trieån </t>
  </si>
  <si>
    <t xml:space="preserve">   8. Quyõ döï phoøng taøi chính</t>
  </si>
  <si>
    <t xml:space="preserve">   9. Quyõ khaùc thuoäc voán chuû sôû höõu</t>
  </si>
  <si>
    <t xml:space="preserve"> 10. Lôïi nhuaän sau thueá chöa phaân phoái</t>
  </si>
  <si>
    <t xml:space="preserve"> 11. Nguoàn voán ñaàu tö XDCB</t>
  </si>
  <si>
    <t>4111, 4112</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</si>
  <si>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</si>
  <si>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</si>
  <si>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</si>
  <si>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</si>
  <si>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</si>
  <si>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</si>
  <si>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</si>
  <si>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</si>
  <si>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</si>
  <si>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</si>
  <si>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</si>
  <si>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</si>
  <si>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</si>
  <si>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</si>
  <si>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</si>
  <si>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</si>
  <si>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</si>
  <si>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</si>
  <si>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</si>
  <si>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</si>
  <si>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</si>
  <si>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</si>
  <si>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</si>
  <si>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 xml:space="preserve">   -Coù thôøi haïn thu hoài treân 1 naêm hoaëc hôn 1 chu kyø kinh doanh ñöôïc phaân loaïi laø taøi saûn daøi haïn.</t>
  </si>
  <si>
    <t>SOÁ DÖ ÑAÀU NAÊM</t>
  </si>
  <si>
    <t>SOÁ PHAÙT SINH TRONG NAÊM</t>
  </si>
  <si>
    <t>SOÁ DÖ CUOÁI NAÊM</t>
  </si>
  <si>
    <t xml:space="preserve">NÔÏ </t>
  </si>
  <si>
    <t xml:space="preserve">COÙ </t>
  </si>
  <si>
    <t xml:space="preserve"> Tieàn maët</t>
  </si>
  <si>
    <t xml:space="preserve"> Ngoaïi teä </t>
  </si>
  <si>
    <t xml:space="preserve"> Tieàn göûi NH</t>
  </si>
  <si>
    <t xml:space="preserve"> Ñaàu tö ngaén haïn khaùc</t>
  </si>
  <si>
    <t>151 - 157</t>
  </si>
  <si>
    <t>ngaøy 20/03/2006 cuûa Boä tröôûng BTC)</t>
  </si>
  <si>
    <t xml:space="preserve"> -Chi phí laõi vay phaûi traû </t>
  </si>
  <si>
    <t>(Ban haønh theo QÑ soá 15/QÑ-BTC</t>
  </si>
  <si>
    <t>Xaõ Hieäp Thaïnh-Huyeän Goø Daàu-Tænh Taây Ninh</t>
  </si>
  <si>
    <t>Maãu soá B 01 - DN</t>
  </si>
  <si>
    <t>Maãu soá B 02 - DN</t>
  </si>
  <si>
    <t>Maãu soá B 03 - DN</t>
  </si>
  <si>
    <t>Maãu soá B 09 - DN</t>
  </si>
  <si>
    <t>2. Caùc khoaûn giaûm tröø doanh thu</t>
  </si>
  <si>
    <t>3. Doanh thu thuaàn veà baùn haøng vaø cung caáp DV (10 = 01 - 02)</t>
  </si>
  <si>
    <t>16. Chi phí thueá TNDN hoaõn laïi</t>
  </si>
  <si>
    <t>17. Lôïi nhuaän sau thueá TNDN (60 = 50 - 51 - 52)</t>
  </si>
  <si>
    <t>18. Laõi cô baûn treân coå phieáu</t>
  </si>
  <si>
    <t>VI.25</t>
  </si>
  <si>
    <t>VI.28</t>
  </si>
  <si>
    <t>VI.30</t>
  </si>
  <si>
    <t>VI.29</t>
  </si>
  <si>
    <t>VI.31</t>
  </si>
  <si>
    <t>VI.32</t>
  </si>
  <si>
    <t>III- Caùc khoaûn phaûi thu  ngaén haïn</t>
  </si>
  <si>
    <t>Ngaøy 31 thaùng 12 naêm 2009</t>
  </si>
  <si>
    <t xml:space="preserve">                Ngaøy 20 thaùng 01  naêm 2010</t>
  </si>
  <si>
    <t>Ngaøy 31/12/2009</t>
  </si>
  <si>
    <t xml:space="preserve">   3. Phaûi thu noäi boä ngaén haïn</t>
  </si>
  <si>
    <t xml:space="preserve">   6. Döï phoøng phaûi thu ngaén haïn khoù ñoøi</t>
  </si>
  <si>
    <t xml:space="preserve">   2. Thueá GTGT ñöôïc khaáu tröø</t>
  </si>
  <si>
    <t xml:space="preserve">   3. Thueá vaø caùc khoaûn khaùc phaûi thu Nhaø nöôùc</t>
  </si>
  <si>
    <t xml:space="preserve">   4. Taøi saûn ngaén haïn khaùc</t>
  </si>
  <si>
    <t xml:space="preserve">   2. Voán kinh doanh ôû ñôn vò tröïc thuoäc</t>
  </si>
  <si>
    <t xml:space="preserve">   3. Phaûi thu daøi haïn noäi boä</t>
  </si>
  <si>
    <t>kinh doanh</t>
  </si>
  <si>
    <t xml:space="preserve"> -Phaûi thu veà coå töùc vaø lôïi nhuaän ñöôïc chia</t>
  </si>
  <si>
    <t xml:space="preserve"> -Thueá GTGT</t>
  </si>
  <si>
    <t xml:space="preserve"> -Thueá nhaäp khaåu</t>
  </si>
  <si>
    <t xml:space="preserve"> -Thueá TNDN</t>
  </si>
  <si>
    <t xml:space="preserve"> -Tieàn thueâ ñaát</t>
  </si>
  <si>
    <t xml:space="preserve"> -Thueá moân baøi</t>
  </si>
  <si>
    <t xml:space="preserve"> -Thueá TNCN</t>
  </si>
  <si>
    <t>9-Taêng, giaûm TSCÑ thueâ taøi chính:</t>
  </si>
  <si>
    <t>10-Taêng, giaûm TSCÑ voâ hình:</t>
  </si>
  <si>
    <t>Giaù trò thu hoài</t>
  </si>
  <si>
    <t>thanh lyù vöôøn caây</t>
  </si>
  <si>
    <t>Lôïi theá</t>
  </si>
  <si>
    <t xml:space="preserve">        Tieàn thaân cuûa Coâng ty laø Coâng ty Cao su Taây Ninh ñöôïc thaønh laäp theo Quyeát ñònh soá 252/TTg ngaøy 29/04/1995 cuûa Thuû töôùng Chính phuû.</t>
  </si>
  <si>
    <t>2-Ñôn vò tieàn teä söû duïng trong keá toaùn laø ñoàng Vieät Nam (VND)</t>
  </si>
  <si>
    <t xml:space="preserve">1-Cheá ñoä keá toaùn aùp duïng: </t>
  </si>
  <si>
    <t xml:space="preserve">           Coâng ty aùp duïng hình thöùc soå keá toaùn Chöùng töø ghi soå</t>
  </si>
  <si>
    <t>b.2.2) Caùc khoaûn ñieàu chænh giaûm</t>
  </si>
  <si>
    <t>b.4) Chi phí thueá thu nhaäp doanh nghieäp hieän haønh:</t>
  </si>
  <si>
    <t>[Chæ tieâu naøy baèng vôùi chæ tieâu 15 (Maõ soá 51 ) trong Baùo caùo keát quaû hoaït ñoäng kinh doanh ( Maãu soá B 02-DN)]</t>
  </si>
  <si>
    <t>Ngaøy 20 thaùng 01 naêm 2010</t>
  </si>
  <si>
    <t>BAÙO CAÙO LÖU CHUYEÅN TIEÀN TEÄ quyù 4 naêm 2009</t>
  </si>
  <si>
    <t>b.4.3) Chi phí thueá TNDN hieän haønh phaûi noäp: (b.4.3 = b.4.1 - b.4.2)</t>
  </si>
  <si>
    <t>b.4.2) Chi phí thueá TNDN hieän haønh ñöôïc mieãn, giaûm do höôûng öu ñaõi ñaàu tö, (do. . . . . . . . . . .)</t>
  </si>
  <si>
    <t xml:space="preserve"> Thueá &amp; caùc khoaûn phaûi noäp NN</t>
  </si>
  <si>
    <t xml:space="preserve"> Phaûi traû CNV</t>
  </si>
  <si>
    <t xml:space="preserve"> Tieàn löông</t>
  </si>
  <si>
    <t xml:space="preserve"> BHXH</t>
  </si>
  <si>
    <t xml:space="preserve"> Tieàn thöôûng</t>
  </si>
  <si>
    <t xml:space="preserve"> Chi phí phaûi traû</t>
  </si>
  <si>
    <t xml:space="preserve"> Phaûi traû-phaûi noäp khaùc</t>
  </si>
  <si>
    <t xml:space="preserve"> BHYT 3%</t>
  </si>
  <si>
    <t xml:space="preserve"> Vay daøi haïn</t>
  </si>
  <si>
    <t xml:space="preserve"> Nguoàn voán kinh doanh</t>
  </si>
  <si>
    <t xml:space="preserve"> Cheânh leäch ñaùnh giaù laïi taøi saûn</t>
  </si>
  <si>
    <t xml:space="preserve"> Laõi chöa phaân phoái</t>
  </si>
  <si>
    <t xml:space="preserve"> Quyõ khen thöôûng-phuùc lôïi</t>
  </si>
  <si>
    <t xml:space="preserve"> Quyõ khen thöôûng</t>
  </si>
  <si>
    <t xml:space="preserve"> Quyõ phuùc lôïi</t>
  </si>
  <si>
    <t xml:space="preserve"> Nguoàn voán ñaàu tö XDCB</t>
  </si>
  <si>
    <t xml:space="preserve"> Nguoàn kinh phí söï nghieäp</t>
  </si>
  <si>
    <t>GIA COÂNG KHAÙC</t>
  </si>
  <si>
    <t xml:space="preserve"> Nguoàn kinh phí hình thaønh TSCÑ</t>
  </si>
  <si>
    <t xml:space="preserve">LOAÏI V: DOANH THU </t>
  </si>
  <si>
    <t xml:space="preserve"> Chi phí ng.lieäu, vaät lieäu tröïc tieáp</t>
  </si>
  <si>
    <t xml:space="preserve"> Chi phí nhaân coâng tröïc tieáp</t>
  </si>
  <si>
    <t xml:space="preserve"> Chi phí saûn xuaát chung</t>
  </si>
  <si>
    <t xml:space="preserve"> Giaù voán haøng baùn</t>
  </si>
  <si>
    <t xml:space="preserve"> Chi phí baùn haøng</t>
  </si>
  <si>
    <t xml:space="preserve"> Chi phí quaûn lyù doanh nghieäp</t>
  </si>
  <si>
    <t xml:space="preserve"> Xaùc ñònh keát quaû kinh doanh</t>
  </si>
  <si>
    <t>LOAÏI TAØI KHOAÛN NGOAØI BAÛNG</t>
  </si>
  <si>
    <t xml:space="preserve"> Ngoaïi teä caùc loaïi</t>
  </si>
  <si>
    <t xml:space="preserve"> Haïn möùc kinh phí coøn laïi</t>
  </si>
  <si>
    <t xml:space="preserve"> Nguoàn voán KHCB hieän coù </t>
  </si>
  <si>
    <t>BAÛNG CAÂN ÑOÁI KEÁ TOAÙN</t>
  </si>
  <si>
    <t>TAØI SAÛN</t>
  </si>
  <si>
    <t>MAÕ SOÁ</t>
  </si>
  <si>
    <t>SOÁ ÑAÀU NAÊM</t>
  </si>
  <si>
    <t xml:space="preserve">   2. Traû tröôùc cho ngöôøi baùn</t>
  </si>
  <si>
    <t xml:space="preserve">   1. Taøi saûn coá ñònh höõu hình</t>
  </si>
  <si>
    <t xml:space="preserve">     *Nguyeân giaù</t>
  </si>
  <si>
    <t xml:space="preserve">     *Giaù trò hao moøn luõy keá </t>
  </si>
  <si>
    <t xml:space="preserve">   2. Taøi saûn coá ñònh thueâ taøi chính</t>
  </si>
  <si>
    <t xml:space="preserve">   3. Taøi saûn coá ñònh voâ hình</t>
  </si>
  <si>
    <t xml:space="preserve">   3. Ñaàu tö daøi haïn khaùc</t>
  </si>
  <si>
    <t>NGUOÀN VOÁN</t>
  </si>
  <si>
    <t xml:space="preserve">A-NÔÏ PHAÛI TRAÛ </t>
  </si>
  <si>
    <t xml:space="preserve">   1. Taøi saûn thueâ ngoaøi</t>
  </si>
  <si>
    <t xml:space="preserve">   4. Nôï khoù ñoøi ñaõ xöû lyù </t>
  </si>
  <si>
    <t xml:space="preserve">   5. Ngoaïi teä caùc loaïi (USD)</t>
  </si>
  <si>
    <t xml:space="preserve">                LAÄP BIEÅU                                      KEÁ TOAÙN TRÖÔÛNG</t>
  </si>
  <si>
    <t xml:space="preserve">         TRAÀN NGOÏC AÅN</t>
  </si>
  <si>
    <t xml:space="preserve"> TS thöøa</t>
  </si>
  <si>
    <t>007</t>
  </si>
  <si>
    <t>008</t>
  </si>
  <si>
    <t>009</t>
  </si>
  <si>
    <t xml:space="preserve"> Phaûi traû noäi boä</t>
  </si>
  <si>
    <t>01</t>
  </si>
  <si>
    <t>02</t>
  </si>
  <si>
    <t>03</t>
  </si>
  <si>
    <t>05</t>
  </si>
  <si>
    <t>06</t>
  </si>
  <si>
    <t>07</t>
  </si>
  <si>
    <t xml:space="preserve"> Vay ngaén haïn</t>
  </si>
  <si>
    <t xml:space="preserve"> QPL hình thaønh TSCÑ PLCC</t>
  </si>
  <si>
    <t>b-Thueá thu nhaäp hoaõn laïi phaûi traû</t>
  </si>
  <si>
    <t xml:space="preserve"> -Thueá thu nhaäp hoaõn laïi phaûi traû phaùt sinh töø caùc khoaûn cheânh leäch taïm thôøi chòu thueá</t>
  </si>
  <si>
    <t xml:space="preserve"> -Khoaûn hoaøn nhaäp thueá thu nhaäp hoaõn laïi phaûi traû ñaõ ñöôïc ghi nhaän töø caùc naêm tröôùc</t>
  </si>
  <si>
    <t xml:space="preserve"> -Thueá thu nhaäp hoaõn laïi phaûi traû</t>
  </si>
  <si>
    <t>21-Taøi saûn thueá thu nhaäp hoaõn laïi vaø thueá thu nhaäp hoaõn laïi phaûi traû:</t>
  </si>
  <si>
    <t>22-Voán chuû sôû höõu:</t>
  </si>
  <si>
    <t>a-Baûng ñoái chieáu bieán ñoäng cuûa Voán chuû sôû höõu</t>
  </si>
  <si>
    <t>Voán ñaàu tö cuûa</t>
  </si>
  <si>
    <t>chuû sôû höõu</t>
  </si>
  <si>
    <t xml:space="preserve"> -Giaûm voán trong naêm tröôùc</t>
  </si>
  <si>
    <t>b/quaân chi phí ñaàu tö dôû dang ñaàu kyø vaø chi phí ñaàu tö dôû dang cuoái kyø.</t>
  </si>
  <si>
    <t>c-Caùc giao dòch veà voán vôùi caùc chuû sôû höõu vaø phaân phoái coå töùc, chia lôïi nhuaän</t>
  </si>
  <si>
    <t>d-Coå töùc</t>
  </si>
  <si>
    <t xml:space="preserve"> -Coå töùc ñaõ coâng boá sau ngaøy keát thuùc kyø keá toaùn naêm:</t>
  </si>
  <si>
    <t xml:space="preserve">    +Coå töùc ñaõ coâng boá treân coå phieáu phoå thoâng:</t>
  </si>
  <si>
    <t>ñ-Coå phieáu</t>
  </si>
  <si>
    <t xml:space="preserve"> -Soá löôïng coå phieáu ñaõ baùn ra coâng chuùng</t>
  </si>
  <si>
    <t xml:space="preserve">    +Coå phieáu phoå thoâng</t>
  </si>
  <si>
    <t>*Meänh giaù coå phieáu ñang löu haønh:</t>
  </si>
  <si>
    <t>e-Caùc quyõ cuûa doanh nghieäp:</t>
  </si>
  <si>
    <t xml:space="preserve"> -Quyõ ñaàu tö phaùt trieån</t>
  </si>
  <si>
    <t xml:space="preserve"> -Quyõ khaùc thuoäc voán chuû sôû höõu</t>
  </si>
  <si>
    <t>23-Nguoàn kinh phí:</t>
  </si>
  <si>
    <t>24-Taøi saûn thueâ ngoaøi:</t>
  </si>
  <si>
    <t>(1)-Giaù trò taøi saûn thueâ ngoaøi</t>
  </si>
  <si>
    <t>(2)-Toång soá tieàn thueâ toái thieåu trong töông lai cuûa hôïp ñoàng thueâ hoaït ñoäng taøi saûn khoâng huûy ngang theo caùc thôøi haïn</t>
  </si>
  <si>
    <t xml:space="preserve"> -Töø 1 naêm trôû xuoáng</t>
  </si>
  <si>
    <t xml:space="preserve"> -Treân 1 ñeán 5 naêm</t>
  </si>
  <si>
    <t>25-Toång doanh thu baùn haøng vaø cung caáp dòch vuï (Maõ soá 01):</t>
  </si>
  <si>
    <t xml:space="preserve">    +Doanh thu cuûa hôïp ñoàng xaây döïng ñöôïc ghi nhaän trong kyø;</t>
  </si>
  <si>
    <t xml:space="preserve"> -Phaûi traû goùp voán (Caù nhaân)</t>
  </si>
  <si>
    <t xml:space="preserve"> -Tieàn ñaët coïc thöïc hieän HÑ</t>
  </si>
  <si>
    <t xml:space="preserve"> -Tieàn ñaët coïc mua coå phaàn</t>
  </si>
  <si>
    <t>b-Chi tieát voán ñaàu tö cuûa chuû sôû höõu</t>
  </si>
  <si>
    <t xml:space="preserve"> -Voán goùp cuûa Nhaø nöôùc</t>
  </si>
  <si>
    <t xml:space="preserve"> -Voán goùp cuûa caùc ñoái töôïng khaùc</t>
  </si>
  <si>
    <t>*Soá löôïng coå phieáu quyõ:</t>
  </si>
  <si>
    <t xml:space="preserve">   -Coù thôøi haïn thu hoài hoaëc ñaùo haïn khoâng quaù 3 thaùng keå töø ngaøy mua khoaûn ñaàu tö ñoù ñöôïc coi laø "töông ñöông tieàn".</t>
  </si>
  <si>
    <t xml:space="preserve">   -Coù thôøi haïn thu hoài döôùi 1 naêm hoaëc trong 1 chu kyø kinh doanh ñöôïc phaân loaïi laø taøi saûn ngaén haïn.</t>
  </si>
  <si>
    <t xml:space="preserve"> Chi phí traû tröôùc daøi haïn</t>
  </si>
  <si>
    <t>GIAÙ VOÁN</t>
  </si>
  <si>
    <t>SAÛN PHAÅM</t>
  </si>
  <si>
    <t>TOÅNG SOÁ</t>
  </si>
  <si>
    <t>GIAÙ VOÁN HAØNG BAÙN</t>
  </si>
  <si>
    <t>CP SXC CÑ</t>
  </si>
  <si>
    <t>KHOÂNG PB</t>
  </si>
  <si>
    <t>CP VÖÔÏT</t>
  </si>
  <si>
    <t>DÖÏ TOAÙN</t>
  </si>
  <si>
    <t>TIEÂU THUÏ</t>
  </si>
  <si>
    <t xml:space="preserve"> -Chi phí daøi haïn khaùc</t>
  </si>
  <si>
    <t xml:space="preserve"> -Giaù trò lôïi theá doanh nghieäp (phaân boå 10 naêm: 2007-2016)</t>
  </si>
  <si>
    <t>a.1) Toång soá lao ñoäng ñeán 31/12</t>
  </si>
  <si>
    <t xml:space="preserve">a.2) Soá lao ñoäng bình quaân trong naêm (Tính theo höôùng daãn cuûa Thoâng tö soá 08/1998/TT-BLÑTBXH </t>
  </si>
  <si>
    <t>ngaøy 07/05/1998 cuûa Boä LÑ-TBXH)</t>
  </si>
  <si>
    <t>a.3) Toång quyõ tieàn löông thöïc hieän (Toång quyõ tieàn löông phaûi traû cho CBCNV phaùt sinh trong naêm)</t>
  </si>
  <si>
    <t>trong naêm ngoaøi quyõ tieàn löông)</t>
  </si>
  <si>
    <t>b) Lôïi nhuaän vaø phaân phoái lôïi nhuaän:</t>
  </si>
  <si>
    <t>a) Lao ñoäng vaø tieàn löông:</t>
  </si>
  <si>
    <t>b.1) Toång lôïi nhuaän keá toaùn tröôùc thueá thöïc hieän trong naêm</t>
  </si>
  <si>
    <t>b.2) Caùc khoaûn ñieàu chænh taêng hoaëc giaûm lôïi nhuaän keá toaùn ñeå xaùc ñònh thu nhaäp chòu thueá</t>
  </si>
  <si>
    <t>b.2.1) Caùc khoaûn ñieàu chænh taêng</t>
  </si>
  <si>
    <t xml:space="preserve">     +Chi phí XDCB vöôït döï toaùn</t>
  </si>
  <si>
    <t xml:space="preserve">     +Caùc khoaûn chi phí khoâng hôïp leä</t>
  </si>
  <si>
    <t xml:space="preserve">     +Tieàn phaït thueá</t>
  </si>
  <si>
    <t xml:space="preserve">     +Caùc khoaûn chi do nguoàn kinh phí khaùc ñaøi thoï</t>
  </si>
  <si>
    <t xml:space="preserve">     +Caùc khoaûn thu nhaäp töø coå töùc ñöôïc chia</t>
  </si>
  <si>
    <t xml:space="preserve">     +Caùc khoaûn thu nhaäp töø laõi traùi phieáu Chính phuû</t>
  </si>
  <si>
    <t xml:space="preserve">     +Laõi cheânh leäch tyû giaù chöa thöïc hieän (Laõi cheânh leäch tyû giaù hoái ñoaùi do ñaùnh giaù laïi caùc TK)</t>
  </si>
  <si>
    <t>b.3) Toång thu nhaäp chòu thueá: (b.3=b.1+b.2.1-b.2.2)</t>
  </si>
  <si>
    <t>b.5) Lôïi nhuaän sau thueá thu nhaäp doanh nghieäp: (b.5 = b.1 - b.4.3)</t>
  </si>
  <si>
    <t>b.6) Phaân phoái lôïi nhuaän:</t>
  </si>
  <si>
    <t>b.6.1) Chia lôïi nhuaän, coå töùc cho caùc ñôn vò:</t>
  </si>
  <si>
    <t>b.6.2) Lôïi nhuaän ñeå laïi chöa phaân phoái:</t>
  </si>
  <si>
    <t>b.6.3) Trích quyõ döï phoøng taøi chính:</t>
  </si>
  <si>
    <t>b.6.4) Lôïi nhuaän ñöôïc chia theo voán nhaø nöôùc ñaàu tö taïi ñôn vò:</t>
  </si>
  <si>
    <t xml:space="preserve">         - Lôïi nhuaän ñeå laïi taùi ñaàu tö taïi ñôn vò:</t>
  </si>
  <si>
    <t xml:space="preserve">         - Lôïi nhuaän phaûi noäp Taäp ñoaøn:</t>
  </si>
  <si>
    <t>b.6.5) Lôïi nhuaän ñöôïc chia theo voán ñôn vò töï huy ñoäng:</t>
  </si>
  <si>
    <t xml:space="preserve">         - Trích quyõ ñaàu tö phaùt trieån:</t>
  </si>
  <si>
    <t xml:space="preserve">         - Trích quyõ khen thöôûng:</t>
  </si>
  <si>
    <t xml:space="preserve">         - Trích quyõ phuùc lôïi:</t>
  </si>
  <si>
    <t xml:space="preserve"> Ngoaïi teä (Sôû giao dòch II kyù quyõ)</t>
  </si>
  <si>
    <t xml:space="preserve"> Thueá nhaäp khaåu</t>
  </si>
  <si>
    <t xml:space="preserve"> 2. Thueá nhaäp khaåu </t>
  </si>
  <si>
    <t xml:space="preserve"> Goùp voán lieân doanh</t>
  </si>
  <si>
    <t>I-LÖU CHUYEÅN TIEÀN TÖØ HOAÏT ÑOÄNG KINH DOANH</t>
  </si>
  <si>
    <t>1.Tieàn thu töø baùn haøng, cung caáp dòch vuï vaø doanh thu khaùc</t>
  </si>
  <si>
    <t>2.Tieàn chi traû cho ngöôøi cung caáp haøng hoùa vaø dòch vuï</t>
  </si>
  <si>
    <t>3.Tieàn chi traû cho ngöôøi lao ñoäng</t>
  </si>
  <si>
    <t>4.Tieàn chi traû laõi vay</t>
  </si>
  <si>
    <t>5.Tieàn chi noäp thueá Thu nhaäp doanh nghieäp</t>
  </si>
  <si>
    <t>6.Tieàn thu khaùc töø hoaït ñoäng kinh doanh</t>
  </si>
  <si>
    <t>7.Tieàn chi khaùc cho hoaït ñoäng kinh doanh</t>
  </si>
  <si>
    <t>Löu chuyeån tieàn thuaàn töø hoaït ñoäng kinh doanh</t>
  </si>
  <si>
    <t>II-LÖU CHUYEÅN TIEÀN TÖØ HOAÏT ÑOÄNG ÑAÀU TÖ</t>
  </si>
  <si>
    <t xml:space="preserve"> Phaûi traû, phaûi noäp khaùc</t>
  </si>
  <si>
    <t xml:space="preserve"> Phaûi traû veà coå phaàn hoùa (Cty mua baùn nôï)</t>
  </si>
  <si>
    <t>SOÁ HIEÄU TK</t>
  </si>
  <si>
    <t>Keát quaû</t>
  </si>
  <si>
    <t>Laõi (+)</t>
  </si>
  <si>
    <t>Loã (-)</t>
  </si>
  <si>
    <t>Caáp I</t>
  </si>
  <si>
    <t>Caáp II</t>
  </si>
  <si>
    <t>Thueá GTGT ñöôïc khaáu tröø cuûa TSCÑ</t>
  </si>
  <si>
    <t>Voán kinh doanh ôû caùc ñôn vò tröïc thuoäc</t>
  </si>
  <si>
    <t>LOAÏI TK I: TAØI SAÛN NGAÉN HAÏN</t>
  </si>
  <si>
    <t xml:space="preserve"> Taøi saûn thieáu chôø xöû lyù</t>
  </si>
  <si>
    <t>d</t>
  </si>
  <si>
    <t>*Döï phoøng giaûm giaù toàn kho</t>
  </si>
  <si>
    <t>Caàm coá, kyù cöôïc, kyù quyõ ngaén haïn</t>
  </si>
  <si>
    <t xml:space="preserve"> Nguyeân lieäu, vaät lieäu </t>
  </si>
  <si>
    <t xml:space="preserve"> Nguyeân lieäu, vaät lieäu</t>
  </si>
  <si>
    <t>Coâng cuï, duïng cuï</t>
  </si>
  <si>
    <t xml:space="preserve"> TP Muû skim Cty</t>
  </si>
  <si>
    <t xml:space="preserve"> TSCÑ thueâ taøi chính</t>
  </si>
  <si>
    <t xml:space="preserve"> TSCÑ voâ hình</t>
  </si>
  <si>
    <t xml:space="preserve"> Ñaàu tö vaøo coâng ty con</t>
  </si>
  <si>
    <t>LOAÏI II: TAØI SAÛN DAØI HAÏN</t>
  </si>
  <si>
    <t>Thanh toaùn theo tieán ñoä KH hôïp ñoàng XD</t>
  </si>
  <si>
    <t xml:space="preserve"> Nhaän kyù quyõ, kyù cöôïc daøi haïn</t>
  </si>
  <si>
    <t xml:space="preserve"> Kyù quyõ, kyù cöôïc daøi haïn</t>
  </si>
  <si>
    <t xml:space="preserve"> Döï phoøng giaûm giaù ñaàu tö daøi haïn</t>
  </si>
  <si>
    <t xml:space="preserve"> Baát ñoäng saûn ñaàu tö</t>
  </si>
  <si>
    <t xml:space="preserve"> Döï phoøng giaûm giaù haøng toàn kho</t>
  </si>
  <si>
    <t xml:space="preserve"> Haøng göûi ñi baùn</t>
  </si>
  <si>
    <t xml:space="preserve"> Haøng hoùa</t>
  </si>
  <si>
    <t xml:space="preserve"> Haøng mua ñang ñi treân ñöôøng</t>
  </si>
  <si>
    <t xml:space="preserve"> Nôï daøi haïn</t>
  </si>
  <si>
    <t xml:space="preserve"> Traùi phieáu phaùt haønh</t>
  </si>
  <si>
    <t>LOAÏI IV: VOÁN CHUÛ SÔÛ HÖÕU</t>
  </si>
  <si>
    <t xml:space="preserve"> Quyõ döï phoøng taøi chính</t>
  </si>
  <si>
    <t xml:space="preserve"> Cheânh leäch tyû giaù hoái ñoaùi</t>
  </si>
  <si>
    <t xml:space="preserve"> Doanh thu baùn haøng vaø cung caáp dòch vuï</t>
  </si>
  <si>
    <t xml:space="preserve"> Doanh thu baùn haøng noäi boä</t>
  </si>
  <si>
    <t xml:space="preserve"> Doanh thu hoaït ñoäng taøi chính</t>
  </si>
  <si>
    <t>LOAÏI VI: CHI PHÍ SAÛN XUAÁT, KINH DOANH</t>
  </si>
  <si>
    <t xml:space="preserve"> Mua haøng</t>
  </si>
  <si>
    <t xml:space="preserve"> Chieát khaáu thöông maïi</t>
  </si>
  <si>
    <t xml:space="preserve"> Haøng baùn bò traû laïi</t>
  </si>
  <si>
    <t xml:space="preserve"> Giaù thaønh saûn xuaát</t>
  </si>
  <si>
    <t>LOAÏI VII: THU NHAÄP KHAÙC</t>
  </si>
  <si>
    <t>LOAÏI VIII: CHI PHÍ KHAÙC</t>
  </si>
  <si>
    <t>COÂNG TY COÅ PHAÀN CAO SU TAÂY NINH</t>
  </si>
  <si>
    <t>QUYÙ BAÙO CAÙO</t>
  </si>
  <si>
    <t>LUÕY KEÁ</t>
  </si>
  <si>
    <t xml:space="preserve">15. Chi phí thueá TNDN hieän haønh </t>
  </si>
  <si>
    <t xml:space="preserve"> 4. Tieàn thueâ ñaát Noâng nghieäp</t>
  </si>
  <si>
    <t>Thueá GTGT ñöôïc hoaøn laïi</t>
  </si>
  <si>
    <r>
      <t>2.1</t>
    </r>
    <r>
      <rPr>
        <sz val="12"/>
        <rFont val="VNI-Times"/>
        <family val="0"/>
      </rPr>
      <t xml:space="preserve"> -Nguyeân taéc ñaùnh giaù haøng toàn kho: Haøng toàn kho ñöôïc tính theo giaù goác. Tröôøng hôïp giaù trò thuaàn coù theå thöïc hieän ñöôïc thaáp hôn giaù goác </t>
    </r>
  </si>
  <si>
    <r>
      <t>2.2</t>
    </r>
    <r>
      <rPr>
        <sz val="12"/>
        <rFont val="VNI-Times"/>
        <family val="0"/>
      </rPr>
      <t xml:space="preserve"> -Phöông phaùp xaùc ñònh giaù trò haøng toàn kho cuoái kyø: Giaù trò haøng toàn kho cuoái kyø ñöôïc xaùc ñònh theo phöông phaùp bình quaân gia quyeàn.</t>
    </r>
  </si>
  <si>
    <t xml:space="preserve">   -Nhaø cöûa, vaät kieán truùc</t>
  </si>
  <si>
    <t>Ngaøy 31/12/2007</t>
  </si>
  <si>
    <t xml:space="preserve"> Nhieân lieäu</t>
  </si>
  <si>
    <t xml:space="preserve"> TGNH No&amp;PTNT Taây Ninh</t>
  </si>
  <si>
    <t xml:space="preserve"> TGNH Coâng thöông Taây Ninh</t>
  </si>
  <si>
    <t xml:space="preserve"> Thuoác </t>
  </si>
  <si>
    <t xml:space="preserve"> Chi phí SXKD dôû dang (CHXD)</t>
  </si>
  <si>
    <t xml:space="preserve"> Tieàn thueâ ñaát Noâng nghieäp</t>
  </si>
  <si>
    <t xml:space="preserve">              TRAÀN NGOÏC AÅN</t>
  </si>
  <si>
    <t xml:space="preserve"> -Thu nhaäp thueá thu nhaäp doanh nghieäp hoaõn laïi phaùt sinh töø caùc khoaûn cheânh leäch taïm thôøi ñöôïc khaáu tröø</t>
  </si>
  <si>
    <t xml:space="preserve"> -Thu nhaäp thueá thu nhaäp doanh nghieäp hoaõn laïi phaùt sinh töø caùc khoaûn loã tính thueá vaø öu ñaõi thueá chöa söû duïng</t>
  </si>
  <si>
    <t xml:space="preserve"> -Thu nhaäp thueá thu nhaäp doanh nghieäp hoaõn laïi phaùt sinh töø vieäc hoaøn nhaäp thueá thu nhaäp hoaõn laïi phaûi traû</t>
  </si>
  <si>
    <t xml:space="preserve"> -Toång chi phí thueá thu nhaäp doanh nghieäp hoaõn laïi</t>
  </si>
  <si>
    <t>33-Chi phí saûn xuaát, kinh doanh theo yeáu toá:</t>
  </si>
  <si>
    <t xml:space="preserve"> -Chi phí nguyeân lieäu, vaät lieäu</t>
  </si>
  <si>
    <t xml:space="preserve"> -Chi phí nhaân coâng</t>
  </si>
  <si>
    <t xml:space="preserve"> -Chi phí khaáu hao TSCÑ</t>
  </si>
  <si>
    <t xml:space="preserve"> -Chi phí dòch vuï mua mgoaøi</t>
  </si>
  <si>
    <t xml:space="preserve"> -Chi phí khaùc baèng tieàn</t>
  </si>
  <si>
    <t>VII-Thoâng tin boå sung cho caùc khoaûn muïc trình baøy trong Baùo caùo löu chuyeån tieàn teä:</t>
  </si>
  <si>
    <t>a-Mua taøi saûn baèng caùch nhaän caùc khoaûn nôï lieân quan tröïc tieáp hoaëc thoâng qua nghieäp vuï cho thueâ taøi chính</t>
  </si>
  <si>
    <t>b-Mua vaø thanh lyù coâng ty con hoaëc ñôn vò kinh doanh khaùc trong kyø baùo caùo</t>
  </si>
  <si>
    <t>6-Nguyeân taéc ghi nhaän vaø voán hoùa caùc khoaûn chi phí ñi vay:</t>
  </si>
  <si>
    <t>7-Nguyeân taéc ghi nhaän vaø voán hoùa caùc khoaûn chi phí khaùc:</t>
  </si>
  <si>
    <t xml:space="preserve"> +Chi phí traû tröôùc: Chi phí traû tröôùc phaân boå cho hoaït ñoäng ñaàu tö xaây döïng cô baûn, caûi taïo, naâng caáp TSCÑ trong kyø ñöôïc voán hoùa vaøo TSCÑ </t>
  </si>
  <si>
    <r>
      <t>6.2</t>
    </r>
    <r>
      <rPr>
        <sz val="12"/>
        <rFont val="VNI-Times"/>
        <family val="0"/>
      </rPr>
      <t xml:space="preserve"> -Tyû leä voán hoùa chi phí ñi vay ñöôïc söû duïng ñeå xaùc ñònh chi phí ñi vay ñöôïc voán hoùa trong kyø: Tyû leä voán hoùa chi phí laõi vay trong kyø döïa vaøo</t>
    </r>
  </si>
  <si>
    <r>
      <t>7.1</t>
    </r>
    <r>
      <rPr>
        <sz val="12"/>
        <rFont val="VNI-Times"/>
        <family val="0"/>
      </rPr>
      <t xml:space="preserve"> -Nguyeân taéc voán hoùa caùc khoaûn chi phí khaùc:</t>
    </r>
  </si>
  <si>
    <r>
      <t>7.2</t>
    </r>
    <r>
      <rPr>
        <sz val="12"/>
        <rFont val="VNI-Times"/>
        <family val="0"/>
      </rPr>
      <t xml:space="preserve"> -Phöông phaùp phaân boå chi phí traû tröôùc: Caùc loaïi chi phí traû tröôùc neáu chi phí lieân quan ñeán naêm taøi chính hieän taïi thì ñöôïc ghi nhaän vaøo chi</t>
    </r>
  </si>
  <si>
    <r>
      <t>7.3</t>
    </r>
    <r>
      <rPr>
        <sz val="12"/>
        <rFont val="VNI-Times"/>
        <family val="0"/>
      </rPr>
      <t xml:space="preserve"> -Phöông phaùp vaø thôøi gian phaân boå lôïi theá thöông maïi:</t>
    </r>
  </si>
  <si>
    <r>
      <t>10.1</t>
    </r>
    <r>
      <rPr>
        <sz val="12"/>
        <rFont val="VNI-Times"/>
        <family val="0"/>
      </rPr>
      <t xml:space="preserve"> -Nguyeân taéc ghi nhaän voán ñaàu tö cuûa chuû sôû höõu, thaëng dö voán coå phaàn, voán khaùc cuûa chuû sôû höõu:</t>
    </r>
  </si>
  <si>
    <r>
      <t>10.2</t>
    </r>
    <r>
      <rPr>
        <sz val="12"/>
        <rFont val="VNI-Times"/>
        <family val="0"/>
      </rPr>
      <t xml:space="preserve"> -Nguyeân taéc ghi nhaän cheânh leäch ñaùnh giaù laïi taøi saûn:</t>
    </r>
  </si>
  <si>
    <r>
      <t>10.3</t>
    </r>
    <r>
      <rPr>
        <sz val="12"/>
        <rFont val="VNI-Times"/>
        <family val="0"/>
      </rPr>
      <t xml:space="preserve"> -Nguyeân taéc ghi nhaän cheânh leäch tyû giaù: </t>
    </r>
  </si>
  <si>
    <r>
      <t>10.4</t>
    </r>
    <r>
      <rPr>
        <sz val="12"/>
        <rFont val="VNI-Times"/>
        <family val="0"/>
      </rPr>
      <t xml:space="preserve"> -Nguyeân taéc ghi nhaän lôïi nhuaän chöa phaân phoái:</t>
    </r>
  </si>
  <si>
    <r>
      <t>11.1</t>
    </r>
    <r>
      <rPr>
        <sz val="12"/>
        <rFont val="VNI-Times"/>
        <family val="0"/>
      </rPr>
      <t xml:space="preserve"> -Doanh thu baùn haøng ñöôïc ghi nhaän khi ñoàng thôøi thoûa maõn caùc ñieàu kieän sau:</t>
    </r>
  </si>
  <si>
    <r>
      <t>11.2</t>
    </r>
    <r>
      <rPr>
        <sz val="12"/>
        <rFont val="VNI-Times"/>
        <family val="0"/>
      </rPr>
      <t xml:space="preserve"> -Doanh thu cung caáp dòch vuï ñöôïc ghi nhaän khi keát quaû cuûa giao dòch ñoù ñöôïc xaùc ñònh moät caùch ñaùng tin caäy. Tröôøng hôïp vieäc cung caáp</t>
    </r>
  </si>
  <si>
    <r>
      <t>11.3</t>
    </r>
    <r>
      <rPr>
        <sz val="12"/>
        <rFont val="VNI-Times"/>
        <family val="0"/>
      </rPr>
      <t xml:space="preserve"> -Doanh thu hoaït ñoäng taøi chính: Doanh thu phaùt sinh töø tieàn laõi, tieàn baûn quyeàn, coå töùc, lôïi nhuaän ñöôïc chia vaø caùc khoaûn doanh thu hoaït</t>
    </r>
  </si>
  <si>
    <r>
      <t>11.4</t>
    </r>
    <r>
      <rPr>
        <sz val="12"/>
        <rFont val="VNI-Times"/>
        <family val="0"/>
      </rPr>
      <t xml:space="preserve"> -Doanh thu hôïp ñoàng xaây döïng:</t>
    </r>
  </si>
  <si>
    <t>06-20 naêm</t>
  </si>
  <si>
    <t>06-10 naêm</t>
  </si>
  <si>
    <t>03-05 naêm</t>
  </si>
  <si>
    <t>05-10 naêm</t>
  </si>
  <si>
    <t xml:space="preserve">   -Maùy moùc. Thieát bò</t>
  </si>
  <si>
    <t xml:space="preserve">   -Phöông tieän vaän taûi</t>
  </si>
  <si>
    <t xml:space="preserve">   -Thieát bò vaên phoøng</t>
  </si>
  <si>
    <t xml:space="preserve">   -Caùc taøi saûn khaùc</t>
  </si>
  <si>
    <t>tröø khi söï giaùn ñoaïn ñoù laø caàn thieát.</t>
  </si>
  <si>
    <t>Vieäc voán hoùa chi phí ñi vay seõ ñöôïc taïm ngöøng laïi trong caùc giai ñoaïn maø quaù trình ñaàu tö xaây döïng hoaëc saûn xuaát taøi saûn dôû dang bò giaùn ñoaïn,</t>
  </si>
  <si>
    <t>Chi phí ñi vay phaùt sinh sau ñoù seõ ñöôïc ghi nhaän laø chi phí saûn xuaát, kinh doanh trong kyø phaùt sinh.</t>
  </si>
  <si>
    <t>ñang ñöôïc ñaàu tö hoaëc caûi taïo naâng caáp ñoù.</t>
  </si>
  <si>
    <t xml:space="preserve">   1. Phaûi thu khaùch haøng</t>
  </si>
  <si>
    <t xml:space="preserve">   4. Phaûi thu theo tieán ñoä KH hôïp ñoàng xaây döïng</t>
  </si>
  <si>
    <t xml:space="preserve">   5. Caùc khoaûn phaûi thu khaùc</t>
  </si>
  <si>
    <t xml:space="preserve">   1. Haøng toàn kho</t>
  </si>
  <si>
    <t xml:space="preserve">   2. Döï phoøng giaûm giaù haøng toàn kho</t>
  </si>
  <si>
    <t xml:space="preserve">   1. Chi phí traû tröôùc ngaén haïn</t>
  </si>
  <si>
    <t>B-TAØI SAÛN DAØI HAÏN</t>
  </si>
  <si>
    <t>(200 = 210 + 220 + 240 + 250 + 260)</t>
  </si>
  <si>
    <t>(100 = 110 + 120 + 130 + 140 + 150)</t>
  </si>
  <si>
    <t>II- Taøi saûn coá ñònh</t>
  </si>
  <si>
    <t>V- Taøi saûn ngaén haïn khaùc</t>
  </si>
  <si>
    <t>I- Tieàn vaø caùc khoaûn töông ñöông tieàn</t>
  </si>
  <si>
    <t>121 (3 thaùng)</t>
  </si>
  <si>
    <t>1381,141,144</t>
  </si>
  <si>
    <t>1385,1388,334,338</t>
  </si>
  <si>
    <t>131 (daøi haïn)</t>
  </si>
  <si>
    <t>136 (daøi haïn)</t>
  </si>
  <si>
    <t>138,331,338 (daøi haïn)</t>
  </si>
  <si>
    <t>139 (daøi haïn)</t>
  </si>
  <si>
    <t>331  (daøi haïn)</t>
  </si>
  <si>
    <t>336 (daøi haïn)</t>
  </si>
  <si>
    <t>334,338 (daøi haïn)</t>
  </si>
  <si>
    <t xml:space="preserve">          TRAÀN NGOÏC AÅN</t>
  </si>
  <si>
    <t>352 (daøi haïn)</t>
  </si>
  <si>
    <t xml:space="preserve">II- Caùc khoaûn ñaàu tö taøi chính ngaén haïn </t>
  </si>
  <si>
    <t>IV- Haøng toàn kho</t>
  </si>
  <si>
    <t xml:space="preserve">   1. Phaûi thu daøi haïn cuûa khaùch haøng</t>
  </si>
  <si>
    <t xml:space="preserve">   3. Phaûi thu daøi haïn khaùc</t>
  </si>
  <si>
    <t xml:space="preserve">   4. Döï phoøng phaûi thu daøi haïn khoù ñoøi</t>
  </si>
  <si>
    <t xml:space="preserve">   4. Chi phí XDCB dôû dang</t>
  </si>
  <si>
    <t>IV- Caùc khoaûn ñaàu tö taøi chính daøi haïn</t>
  </si>
  <si>
    <t>III- Baát ñoäng saûn ñaàu tö</t>
  </si>
  <si>
    <t xml:space="preserve">   1. Ñaàu tö vaøo coâng ty con</t>
  </si>
  <si>
    <t xml:space="preserve">   2. Ñaàu tö vaøo coâng ty lieân keát, lieân doanh</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</si>
  <si>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</si>
  <si>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</si>
  <si>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</si>
  <si>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</si>
  <si>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</si>
  <si>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TOÅNG COÄNG TAØI SAÛN (270 = 100 + 200)</t>
  </si>
  <si>
    <t>TM</t>
  </si>
  <si>
    <t xml:space="preserve">   1. Vay vaø nôï ngaén haïn</t>
  </si>
  <si>
    <t xml:space="preserve">   2. Phaûi traû ngöôøi baùn</t>
  </si>
  <si>
    <t>mua haøng vaø caùc chi phí khaùc coù lieân quan tröïc tieáp ñeán vieäc mua haøng toàn kho.</t>
  </si>
  <si>
    <t>coá ñònh vaø chi phí saûn xuaát chung bieán ñoåi phaùt sinh trong quaù trình chuyeån hoùa nguyeân lieäu vaät lieäu thaønh thaønh phaåm.</t>
  </si>
  <si>
    <t xml:space="preserve"> COÂNG TY COÅ PHAÀN CAO SU TAÂY NINH</t>
  </si>
  <si>
    <t>Thöøa(-), thieáu(+)</t>
  </si>
  <si>
    <t xml:space="preserve">kyø naøy </t>
  </si>
  <si>
    <t xml:space="preserve">trong kyø naøy </t>
  </si>
  <si>
    <t>Toång coäng</t>
  </si>
  <si>
    <t>STT</t>
  </si>
  <si>
    <t>Chi phí</t>
  </si>
  <si>
    <t>baùn haøng</t>
  </si>
  <si>
    <t>QLDN</t>
  </si>
  <si>
    <t>A</t>
  </si>
  <si>
    <t>B</t>
  </si>
  <si>
    <t>C</t>
  </si>
  <si>
    <t>LAÄP BIEÅU</t>
  </si>
  <si>
    <t>KEÁ TOAÙN TRÖÔÛNG</t>
  </si>
  <si>
    <t>TEÂN TAØI KHOAÛN</t>
  </si>
  <si>
    <t xml:space="preserve">   -Taøi saûn thieáu chôø xöû lyù ñöôïc phaân loaïi laø nôï ngaén haïn.</t>
  </si>
  <si>
    <t xml:space="preserve">   -Thueá thu nhaäp hoaõn laïi ñöôïc phaân loaïi laø nôï daøi haïn.</t>
  </si>
  <si>
    <t xml:space="preserve">   -Coù thôøi haïn thanh toaùn treân 1 naêm hoaëc treân 1 chu kyø saûn xuaát kinh doanh ñöôïc phaân loaïi laø nôï daøi haïn.</t>
  </si>
  <si>
    <t xml:space="preserve">   -Coù thôøi haïn thanh toaùn döôùi 1 naêm hoaëc trong 1 chu kyø saûn xuaát kinh doanh ñöôïc phaân loaïi laø nôï ngaén haïn.</t>
  </si>
  <si>
    <t>Caùc khoaûn phaûi traû ngöôøi baùn, phaûi traû noäi boä, phaûi traû khaùc, khoaûn vay taïi thôøi ñieåm baùo caùo, neáu:</t>
  </si>
  <si>
    <t>Caùc chi phí traû tröôùc chæ lieân quan ñeán chi phí saûn xuaát kinh doanh naêm taøi chính hieän taïi ñöôïc ghi nhaän laø chi phí traû tröôùc ngaén haïn.</t>
  </si>
  <si>
    <t xml:space="preserve">   -Chi phí thaønh laäp;</t>
  </si>
  <si>
    <t xml:space="preserve">   -Chi phí tröôùc hoaït ñoäng/ chi phí chuaån bò saûn xuaát (bao goàm caùc chi phí ñaøo taïo);</t>
  </si>
  <si>
    <t>UÛy thaùc XK</t>
  </si>
  <si>
    <t>* Muû coám</t>
  </si>
  <si>
    <t>Noäi tieâu</t>
  </si>
  <si>
    <t xml:space="preserve">Caùc khoaûn giaûm tröø </t>
  </si>
  <si>
    <t>Thueá XK</t>
  </si>
  <si>
    <t>Giaûm giaù</t>
  </si>
  <si>
    <t xml:space="preserve">TOÅNG </t>
  </si>
  <si>
    <t>DOANH THU</t>
  </si>
  <si>
    <t>Thueá GTGT</t>
  </si>
  <si>
    <t>ñaàu ra</t>
  </si>
  <si>
    <t xml:space="preserve"> Thueá GTGT ñöôïc khaáu tröø</t>
  </si>
  <si>
    <t>Bieåu 02</t>
  </si>
  <si>
    <t xml:space="preserve"> Thueá GTGT</t>
  </si>
  <si>
    <t xml:space="preserve"> Thueá TNDN</t>
  </si>
  <si>
    <t xml:space="preserve"> -Chuyeån sang BÑS ñaàu tö</t>
  </si>
  <si>
    <t xml:space="preserve"> -Thanh lyù, nhöôïng baùn</t>
  </si>
  <si>
    <t xml:space="preserve"> -Giaûm khaùc</t>
  </si>
  <si>
    <t>Soá dö cuoái naêm</t>
  </si>
  <si>
    <t xml:space="preserve"> -Khaáu hao trong naêm</t>
  </si>
  <si>
    <t xml:space="preserve"> -Taïi ngaøy ñaàu naêm</t>
  </si>
  <si>
    <t>TAÄP ÑOAØN COÂNG NGHIEÄP CAO SU VIEÄT NAM</t>
  </si>
  <si>
    <t xml:space="preserve"> TGNH TM CP SaøiGoøn-Haø Noäi (CN Tp HCM)</t>
  </si>
  <si>
    <t>1121SHB</t>
  </si>
  <si>
    <t>1122CUCHI</t>
  </si>
  <si>
    <t>1122SHB</t>
  </si>
  <si>
    <t xml:space="preserve"> TGNH TM CP Coâng thöông CN Cuû Chi</t>
  </si>
  <si>
    <t xml:space="preserve">    +Xe taûi ISUZU</t>
  </si>
  <si>
    <t xml:space="preserve">    +Haøng raøo XN CKCB</t>
  </si>
  <si>
    <t xml:space="preserve">        -Naêm thöù 2</t>
  </si>
  <si>
    <t xml:space="preserve">        -Naêm thöù 3</t>
  </si>
  <si>
    <t xml:space="preserve">        -Naêm thöù 4</t>
  </si>
  <si>
    <t xml:space="preserve">        -Naêm thöù 5</t>
  </si>
  <si>
    <t xml:space="preserve">        -Naêm thöù 6</t>
  </si>
  <si>
    <t xml:space="preserve">        -Naêm thöù 7</t>
  </si>
  <si>
    <t xml:space="preserve">        -Naêm thöù 8</t>
  </si>
  <si>
    <t xml:space="preserve">        -Naêm thöù 9</t>
  </si>
  <si>
    <t xml:space="preserve">        -Naêm thöù 10</t>
  </si>
  <si>
    <t xml:space="preserve">        -Naêm thöù 11</t>
  </si>
  <si>
    <t xml:space="preserve">        -Naêm thöù 12</t>
  </si>
  <si>
    <t xml:space="preserve">        -Naêm thöù 13</t>
  </si>
  <si>
    <t xml:space="preserve">        -Naêm thöù 14</t>
  </si>
  <si>
    <t xml:space="preserve">        -Naêm thöù 15</t>
  </si>
  <si>
    <t xml:space="preserve">        -Naêm thöù 16</t>
  </si>
  <si>
    <t xml:space="preserve">        -Naêm thöù 17</t>
  </si>
  <si>
    <t xml:space="preserve">        -Naêm thöù 18</t>
  </si>
  <si>
    <t xml:space="preserve">        -Naêm thöù 19</t>
  </si>
  <si>
    <t>Möùc khaáu hao cho naêm cuoái cuøng (naêm thöù 20) ñöôïc xaùc ñònh baèng giaù trò coøn laïi cuûa vöôøn caây cuûa naêm khai thaùc cuoái cuøng.</t>
  </si>
  <si>
    <t>Caùc khoaûn chi phí ñöôïc ghi nhaän vaøo chi phí taøi chính goàm:</t>
  </si>
  <si>
    <t xml:space="preserve"> -Khoaûn hoaøn nhaäp taøi saûn thueá thu nhaäp hoaõn laïi ñaõ ñöôïc ghi nhaän töø caùc naêm tröôùc</t>
  </si>
  <si>
    <t xml:space="preserve"> Giaûm giaù haøng baùn</t>
  </si>
  <si>
    <t xml:space="preserve">   3. Haøng hoùa nhaän baùn hoä, nhaän kyù göûi, kyù cöôïc</t>
  </si>
  <si>
    <t xml:space="preserve">   6. Döï toaùn chi söï nghieäp, döï aùn</t>
  </si>
  <si>
    <t>THUYEÁT MINH</t>
  </si>
  <si>
    <t>2-Tuyeân boá veà vieäc tuaân thuû Chuaån möïc keá toaùn vaø Cheá ñoä keá toaùn Vieät Nam</t>
  </si>
  <si>
    <t>3-Hình thöùc keá toaùn aùp duïng:</t>
  </si>
  <si>
    <t>I- Caùc khoaûn phaûi thu daøi haïn</t>
  </si>
  <si>
    <t xml:space="preserve">CP ñi vay ñöôïc voán hoùa trong kyø khoâng ñöôïc vöôït quaù toång soá chi phí ñi vay phaùt sinh trong kyø. Caùc khoaûn laõi tieàn vay vaø khoaûn phaân boå chieát </t>
  </si>
  <si>
    <t>khaáu hoaëc phuï troäi ñöôïc voán hoùa trong töøng kyø khoâng ñöôïc vöôït quaù soá laõi vay thöïc teá PS vaø soá phaân boå chieát khaáu hoaëc phuï troäi trong kyø ñoù.</t>
  </si>
  <si>
    <t>soá cheânh leäch giöõa giaù goác cuûa caùc khoaûn ñaàu tö ñöôïc haïch toaùn treân soå keá toaùn lôùn hôn giaù trò thò tröôøng cuûa chuùng taïi thôøi ñieåm laäp döï phoøng.</t>
  </si>
  <si>
    <t>c-Trình baøy giaù trò vaø lyù do cuûa caùc khoaûn tieàn vaø töông ñöông tieàn lôùn do doanh nghieäp naém giöõ nhöng</t>
  </si>
  <si>
    <t>khoâng ñöôïc söû duïng do coù söï haïn cheá cuûa phaùp luaät hoaëc caùc raøng buoäc khaùc maø doanh nghieäp phaûi thöïc hieän.</t>
  </si>
  <si>
    <t>Löu chuyeån tieàn thuaàn töø hoaït ñoäng taøi chính</t>
  </si>
  <si>
    <t>0071</t>
  </si>
  <si>
    <t>0072</t>
  </si>
  <si>
    <t xml:space="preserve"> Chi phí taøi chính</t>
  </si>
  <si>
    <t xml:space="preserve"> Thu nhaäp khaùc</t>
  </si>
  <si>
    <t xml:space="preserve"> Chi phí khaùc</t>
  </si>
  <si>
    <t>KHAÙC</t>
  </si>
  <si>
    <t xml:space="preserve"> -Döï phoøng giaûm giaù haøng toàn kho</t>
  </si>
  <si>
    <t xml:space="preserve"> -Laõi cheânh leäch tyû giaù ñaõ thöïc hieän</t>
  </si>
  <si>
    <t xml:space="preserve"> -Laõi cheânh leäch tyû giaù chöa thöïc hieän</t>
  </si>
  <si>
    <t xml:space="preserve"> -Laõi tieàn vay</t>
  </si>
  <si>
    <t xml:space="preserve"> -Chieát khaáu thanh toaùn, laõi baùn haøng traû chaäm</t>
  </si>
  <si>
    <t xml:space="preserve"> -Loã do thanh lyù caùc khoaûn ñaàu tö ngaén haïn, daøi haïn</t>
  </si>
  <si>
    <t xml:space="preserve"> -Loã baùn ngoaïi teä</t>
  </si>
  <si>
    <t xml:space="preserve"> -Loã cheânh leäch tyû giaù ñaõ thöïc hieän</t>
  </si>
  <si>
    <t xml:space="preserve"> -Loã cheânh leäch tyû giaù chöa thöïc hieän</t>
  </si>
  <si>
    <t xml:space="preserve"> -Döï phoøng giaûm giaù caùc khoaûn ñaàu tö ngaén haïn, daøi haïn</t>
  </si>
  <si>
    <t>QUYÙ 3 NAÊM 2008</t>
  </si>
  <si>
    <t xml:space="preserve"> -Chi phí taøi chính khaùc</t>
  </si>
  <si>
    <t>29-Doanh thu hoaït ñoäng taøi chính (Maõ soá 21):</t>
  </si>
  <si>
    <t>30-Chi phí taøi chính (Maõ soá 22):</t>
  </si>
  <si>
    <t xml:space="preserve">                   LAÄP BIEÅU                                             KEÁ TOAÙN TRÖÔÛNG</t>
  </si>
  <si>
    <t>HÑ TAØI CHÍNH</t>
  </si>
  <si>
    <t xml:space="preserve">HÑ SXKD </t>
  </si>
  <si>
    <t>a.4) Toång caùc khoaûn thu nhaäp khaùc cuûa CBCNV (Toång caùc khoaûn chi thöïc teá cho CBCNV phaùt sinh</t>
  </si>
  <si>
    <t xml:space="preserve"> Coâng KCB</t>
  </si>
  <si>
    <t xml:space="preserve"> Chi phí thueá TNDN hieän haønh</t>
  </si>
  <si>
    <t xml:space="preserve">        -Khai hoang vaø söûa chöõa xaây döïng caàu ñöôøng;</t>
  </si>
  <si>
    <t xml:space="preserve">        -Xaây laép coâng trình coâng nghieäp daân duïng;</t>
  </si>
  <si>
    <t xml:space="preserve">        -Cöa xeû goã cao su, ñoùng Pallet vaø ñoà duøng gia duïng;</t>
  </si>
  <si>
    <t xml:space="preserve">        -Thöông nghieäp baùn buoân xaêng, daàu, nhôùt;</t>
  </si>
  <si>
    <t xml:space="preserve">        -Xay xaùt haøng noâng saûn;</t>
  </si>
  <si>
    <t xml:space="preserve">        -Dòch vuï aên uoáng;</t>
  </si>
  <si>
    <t xml:space="preserve">        -Kinh doanh vaät tö toång hôïp;</t>
  </si>
  <si>
    <t xml:space="preserve">        -Khaûo saùt, thieát keá caùc coâng trình xaây döïng giao thoâng;</t>
  </si>
  <si>
    <t xml:space="preserve">        -Thi coâng coâng trình thuûy lôïi;</t>
  </si>
  <si>
    <t xml:space="preserve">        -Kinh doanh nhaø ñaát;</t>
  </si>
  <si>
    <t>nghieäp ñaõ phaùt haønh</t>
  </si>
  <si>
    <t>3.Tieàn vay ngaén haïn, daøi haïn nhaän ñöôïc</t>
  </si>
  <si>
    <t>4.Tieàn chi traû nôï goác vay</t>
  </si>
  <si>
    <t>5.Tieàn chi traû nôï thueâ taøi chính</t>
  </si>
  <si>
    <t>6.Coå töùc, lôïi nhuaän ñaõ traû cho chuû sôû höõu</t>
  </si>
  <si>
    <t>Tieàn vaø töông ñöông tieàn ñaàu kyø</t>
  </si>
  <si>
    <t>AÛnh höôûng cuûa thay ñoåi tyû giaù hoái ñoaùi quy ñoåi ngoaïi teä</t>
  </si>
  <si>
    <t xml:space="preserve"> Thueá TNCN</t>
  </si>
  <si>
    <t>Tieàn Vieät Nam</t>
  </si>
  <si>
    <t>Vaøng baïc, kim khí quyù, ñaù quyù</t>
  </si>
  <si>
    <t xml:space="preserve"> Tieàn ñang chuyeån</t>
  </si>
  <si>
    <t>Ñaàu tö chöùng khoaùn ngaén haïn</t>
  </si>
  <si>
    <t>Coå phieáu</t>
  </si>
  <si>
    <t>Traùi phieáu</t>
  </si>
  <si>
    <t>Döï phoøng giaûm giaù ñaàu tö ngaén haïn khaùc</t>
  </si>
  <si>
    <t>Thueá GTGT ñöôïc khaáu tröø cuûa HH, DV</t>
  </si>
  <si>
    <t>LOAÏI IX: XAÙC ÑÒNH KEÁT QUAÛ KINH DOANH</t>
  </si>
  <si>
    <t>COÂNG TRÌNH NGOAØI</t>
  </si>
  <si>
    <t>BAÛNG TIEÂU THUÏ VAØ LAÕI LOÃ naêm 2009</t>
  </si>
  <si>
    <t xml:space="preserve"> Chi phí SXKD dôû dang (SX CB skim)</t>
  </si>
  <si>
    <t>TOÅNG GIAÙM ÑOÁC</t>
  </si>
  <si>
    <t>A-TAØI SAÛN NGAÉN HAÏN</t>
  </si>
  <si>
    <t xml:space="preserve">   1. Tieàn </t>
  </si>
  <si>
    <t xml:space="preserve">   2. Caùc khoaûn töông ñöông tieàn</t>
  </si>
  <si>
    <t xml:space="preserve">   1. Ñaàu tö ngaén haïn</t>
  </si>
  <si>
    <t xml:space="preserve">   2. Döï phoøng giaûm giaù CK ñaàu tö ngaén haïn</t>
  </si>
  <si>
    <t>KD NHIEÂN LIEÄU</t>
  </si>
  <si>
    <t xml:space="preserve"> -Baûo hieåm yteá</t>
  </si>
  <si>
    <t xml:space="preserve"> -Baûo hieåm xaõ hoäi</t>
  </si>
  <si>
    <t xml:space="preserve"> -Kinh phí coâng ñoaøn</t>
  </si>
  <si>
    <t xml:space="preserve"> -Chi phí thueá TNDN tính treân thu nhaäp chòu thueá naêm hieän haønh</t>
  </si>
  <si>
    <t xml:space="preserve"> -Ñieàu chænh chi phí thueá TNDN cuûa caùc naêm tröôùc vaøo chi phí thueá thu nhaäp hieän haønh naêm nay</t>
  </si>
  <si>
    <t xml:space="preserve"> -Toång chi phí thueá TNDN hieän haønh</t>
  </si>
  <si>
    <t>32-Chi phí thueá thu nhaäp doanh nghieäp hoaõn laïi (Maõ soá 52):</t>
  </si>
  <si>
    <t>31-Chi phí thueá thu nhaäp doanh nghieäp hieän haønh (Maõ soá 51):</t>
  </si>
  <si>
    <t xml:space="preserve"> -Chi phí thueá thu nhaäp hoaõn laïi phaùt sinh töø caùc khoaûn cheânh leäch taïm thôøi phaûi chòu thueá</t>
  </si>
  <si>
    <t xml:space="preserve"> -Chi phí thueá thu nhaäp hoaõn laïi phaùt sinh töø vieäc hoaøn nhaäp taøi saûn thueá thu nhaäp hoaõn laïi</t>
  </si>
  <si>
    <t>1.Tieàn chi ñeå mua saém, xaây döïng TSCÑ vaø caùc taøi saûn daøi haïn khaùc</t>
  </si>
  <si>
    <t>2.Tieàn thu töø thanh lyù, nhöôïng baùn TSCÑ vaø caùc taøi saûn daøi haïn khaùc</t>
  </si>
  <si>
    <t>3.Tieàn chi cho vay, mua caùc coâng cuï nôï cuûa ñôn vò khaùc</t>
  </si>
  <si>
    <t>4.Tieàn thu hoài cho vay, baùn laïi caùc coâng cuï nôï cuûa ñôn vò khaùc</t>
  </si>
  <si>
    <t>6.Tieàn thu hoài ñaàu tö goùp voán vaøo ñôn vò khaùc</t>
  </si>
  <si>
    <t>7.Tieàn thu laõi cho vay, coå töùc vaø lôïi nhuaän ñöôïc chia</t>
  </si>
  <si>
    <t>1.Tieàn thu töø phaùt haønh coå phieáu, nhaän voán goùp cuûa chuû sôû höõu</t>
  </si>
  <si>
    <t>2.Tieàn chi traû voán goùp cho caùc chuû sôû höõu, mua laïi coå phieáu cuûa doanh</t>
  </si>
  <si>
    <t xml:space="preserve">        -Ñaàu tö troàng, chaêm soùc, khai thaùc, cheá bieán cao su nguyeân lieäu vaø tieâu thuï saûn phaåm;</t>
  </si>
  <si>
    <t xml:space="preserve">        -Coâng nghieäp hoùa chaát, phaân boùn vaø cao su;</t>
  </si>
  <si>
    <t xml:space="preserve">        -Thöông nghieäp baùn buoân;</t>
  </si>
  <si>
    <t>Tyû leä khaáu hao %</t>
  </si>
  <si>
    <t xml:space="preserve"> +Chi phí khaùc: Chi phí khaùc phuïc vuï cho hoaït ñoäng ñaàu tö xaây döïng cô baûn, caûi taïo, naâng caáp TSCÑ trong kyø ñöôïc voán hoùa vaøo TSCÑ ñang</t>
  </si>
  <si>
    <t>8-Nguyeân taéc ghi nhaän chi phí phaûi traû:</t>
  </si>
  <si>
    <t>9-Nguyeân taéc vaø phöông phaùp ghi nhaän caùc khoaûn döï phoøng phaûi traû:</t>
  </si>
  <si>
    <t>11-Nguyeân taéc vaø phöông phaùp ghi nhaän doanh thu:</t>
  </si>
  <si>
    <t>10-Nguyeân taéc ghi nhaän voán chuû sôû höõu:</t>
  </si>
  <si>
    <t>12-Nguyeân taéc vaø phöông phaùp ghi nhaän chi phí taøi chính:</t>
  </si>
  <si>
    <t xml:space="preserve"> -Chi phí hoaëc caùc khoaûn loã lieân quan ñeán caùc hoaït ñoäng ñaàu tö taøi chính;</t>
  </si>
  <si>
    <t xml:space="preserve"> -Chi phí cho vay vaø ñi vay voán;</t>
  </si>
  <si>
    <t xml:space="preserve"> -Caùc khoaûn loã do thay ñoåi tyû giaù hoái ñoaùi cuûa caùc nghieäp vuï phaùt sinh lieân quan ñeán ngoaïi teä;</t>
  </si>
  <si>
    <t xml:space="preserve"> -Döï phoøng giaûm giaù ñaàu tö chöùng khoaùn;</t>
  </si>
  <si>
    <t xml:space="preserve"> -Chi phí thueá thu nhaäp doanh nghieäp hieän haønh ñöôïc xaùc ñònh treân cô sôû thu nhaäp chòu thueá vaø thueá suaát thueá TNDN trong naêm hieän haønh.</t>
  </si>
  <si>
    <t xml:space="preserve"> -Chi phí thueá thu nhaäp doanh nghieäp hoaõn laïi ñöôïc xaùc ñònh treân cô sôû soá cheânh leäch taïm thôøi ñöôïc khaáu tröø, soá cheânh leäch taïm thôøi chòu thueá </t>
  </si>
  <si>
    <t>vaø thueá suaát thueá TNDN.</t>
  </si>
  <si>
    <t>Ngaøy 28/12/2006</t>
  </si>
  <si>
    <t>Ngaøy 01/01/2006</t>
  </si>
  <si>
    <t>6-Taøi saûn ngaén haïn khaùc:</t>
  </si>
  <si>
    <t xml:space="preserve"> -Caùc khoaûn kyù cöôïc, kyù quyõ ngaén haïn</t>
  </si>
  <si>
    <t xml:space="preserve"> -Taøi saûn thieáu chôø xöû lyù</t>
  </si>
  <si>
    <t xml:space="preserve"> -Taïm öùng</t>
  </si>
  <si>
    <t>TỔNG GIAÙM ÑOÁC</t>
  </si>
  <si>
    <t xml:space="preserve"> -Caùc khoaûn töông ñöông tieàn</t>
  </si>
  <si>
    <t>TOÅNG COÄNG</t>
  </si>
  <si>
    <t>BAÛNG CAÂN ÑOÁI SOÁ PHAÙT SINH 12 thaùng naêm 2009</t>
  </si>
  <si>
    <t xml:space="preserve"> Ngoaïi teä taïi quyõ</t>
  </si>
  <si>
    <t xml:space="preserve"> Ngoaïi teä gôûi NH</t>
  </si>
  <si>
    <t>BAÙO CAÙO KEÁT QUAÛ HOAÏT ÑOÄNG KINH DOANH quyù 4 naêm 2009</t>
  </si>
  <si>
    <t>TÌNH HÌNH THÖÏC HIEÄN NGHÓA VUÏ VÔÙI NGAÂN SAÙCH NHAØ NÖÔÙC naêm 2009</t>
  </si>
  <si>
    <t xml:space="preserve">   -Thueá GTGT ñaàu vaøo khoâng ñöôïc khaáu tröø:</t>
  </si>
  <si>
    <t xml:space="preserve">   -Thueá GTGT ñaàu vaøo chöa ñöôïc hoaøn:</t>
  </si>
  <si>
    <t>CHÆ TIEÂU</t>
  </si>
  <si>
    <t>%</t>
  </si>
  <si>
    <t>Soá löôïng</t>
  </si>
  <si>
    <t>COÄNG</t>
  </si>
  <si>
    <t xml:space="preserve">   3. Ngöôøi mua traû tieàn tröôùc</t>
  </si>
  <si>
    <t xml:space="preserve">   4. Thueá &amp; caùc khoaûn phaûi noäp Nhaø nöôùc</t>
  </si>
  <si>
    <t xml:space="preserve">   6. Chi phí phaûi traû</t>
  </si>
  <si>
    <t xml:space="preserve">        *Nguoàn kinh phí söï nghieäp</t>
  </si>
  <si>
    <t xml:space="preserve">        *Chi söï nghieäp</t>
  </si>
  <si>
    <t xml:space="preserve">   7. Phaûi traû noäi boä </t>
  </si>
  <si>
    <t xml:space="preserve">   8.Phaûi traû theo tieán ñoä KH hôïp ñoàng xaây döïng</t>
  </si>
  <si>
    <t>I- Nôï ngaén haïn</t>
  </si>
  <si>
    <t>II- Nôï daøi haïn</t>
  </si>
  <si>
    <t xml:space="preserve">   1. Phaûi traû daøi haïn ngöôøi baùn</t>
  </si>
  <si>
    <t xml:space="preserve">   2. Phaûi traû daøi haïn noäi boä</t>
  </si>
  <si>
    <t xml:space="preserve">   3. Phaûi traû daøi haïn khaùc</t>
  </si>
  <si>
    <t xml:space="preserve">   4. Vay vaø nôï daøi haïn </t>
  </si>
  <si>
    <t xml:space="preserve">   5. Thueá thu nhaäp hoaõn laïi phaûi traû</t>
  </si>
  <si>
    <t>B-VOÁN CHUÛ SÔÛ HÖÕU</t>
  </si>
  <si>
    <t>I- Voán chuû sôû höõu</t>
  </si>
  <si>
    <t xml:space="preserve">   1. Voán ñaàu tö cuûa chuû sôû höõu</t>
  </si>
  <si>
    <t xml:space="preserve">   2. Thaëng dö voán coå phaàn</t>
  </si>
  <si>
    <t xml:space="preserve">   1. Quyõ khen thöôûng, phuùc lôïi</t>
  </si>
  <si>
    <t>II- Nguoàn kinh phí vaø quyõ khaùc</t>
  </si>
  <si>
    <t>quyù 4 naêm 2009</t>
  </si>
  <si>
    <t xml:space="preserve">    +Nhaø maùy muû kem</t>
  </si>
  <si>
    <t xml:space="preserve"> -Phí BHXK </t>
  </si>
  <si>
    <t xml:space="preserve">   2. Nguoàn kinh phí</t>
  </si>
  <si>
    <t xml:space="preserve">   3. Nguoàn kinh phí ñaõ hình thaønh TSCÑ</t>
  </si>
  <si>
    <t>TOÅNG COÄNG NGUOÀN VOÁN (430 = 300 + 400)</t>
  </si>
  <si>
    <t>CAÙC CHÆ TIEÂU NGOAØI BAÛNG CAÂN ÑOÁI KEÁ TOAÙN</t>
  </si>
  <si>
    <t>Ñôn vò tính: ñoàng</t>
  </si>
  <si>
    <t>1. Doanh thu baùn haøng vaø cung caáp dòch vuï</t>
  </si>
  <si>
    <t>4. Giaù voán haøng baùn</t>
  </si>
  <si>
    <t>5. Lôïi nhuaän goäp veà baùn haøng vaø cung caáp dòch vuï (20 = 10 - 11)</t>
  </si>
  <si>
    <t>6. Doanh thu hoaït ñoäng taøi chính</t>
  </si>
  <si>
    <t>7. Chi phí taøi chính</t>
  </si>
  <si>
    <t xml:space="preserve">      Trong ñoù: Chi phí laõi vay </t>
  </si>
  <si>
    <t>CAÙC CHÆ TIEÂU TAØI CHÍNH CÔ BAÛN</t>
  </si>
  <si>
    <t xml:space="preserve"> 1- Cô caáu taøi saûn</t>
  </si>
  <si>
    <t xml:space="preserve">     -Taøi saûn daøi haïn/Toång taøi saûn </t>
  </si>
  <si>
    <t xml:space="preserve">     -Taøi saûn ngaén haïn/Toång taøi saûn </t>
  </si>
  <si>
    <t xml:space="preserve"> 2- Cô caáu nguoàn voán</t>
  </si>
  <si>
    <t xml:space="preserve">     -Nôï phaûi traû/Toång nguoàn voán</t>
  </si>
  <si>
    <t xml:space="preserve">     -Nguoàn voán chuû sôû höõu/Toång nguoàn voán</t>
  </si>
  <si>
    <t xml:space="preserve"> 3- Khaû naêng thanh toaùn</t>
  </si>
  <si>
    <t>laàn</t>
  </si>
  <si>
    <t xml:space="preserve">     -Khaû naêng thanh toaùn nhanh</t>
  </si>
  <si>
    <t xml:space="preserve">     -Khaû naêng thanh toaùn hieän haønh</t>
  </si>
  <si>
    <t xml:space="preserve"> 4- Tyû suaát lôïi nhuaän</t>
  </si>
  <si>
    <t xml:space="preserve">     -Tyû suaát lôïi nhuaän sau thueá/Toång taøi saûn</t>
  </si>
  <si>
    <t xml:space="preserve">     -Tyû suaát lôïi nhuaän sau thueá/Doanh thu thuaàn</t>
  </si>
  <si>
    <t xml:space="preserve">     -Tyû suaát lôïi nhuaän sau thueá/Nguoàn voán chuû sôû höõu</t>
  </si>
  <si>
    <t xml:space="preserve">                   LAÄP BIEÅU                             KEÁ TOAÙN TRÖÔÛNG</t>
  </si>
  <si>
    <t>8. Chi phí baùn haøng</t>
  </si>
  <si>
    <t>9. Chi phí quaûn lyù doanh nghieäp</t>
  </si>
  <si>
    <t>10. Lôïi nhuaän thuaàn töø HÑ KD [30 = 20 + (21 - 22) - (24 + 25)]</t>
  </si>
  <si>
    <t>11. Thu nhaäp khaùc</t>
  </si>
  <si>
    <t>12. Chi phí khaùc</t>
  </si>
  <si>
    <t>13. Lôïi nhuaän khaùc (40 = 31 - 32)</t>
  </si>
  <si>
    <t>14. Toång lôïi nhuaän keá toaùn tröôùc thueá (50 = 30 + 40)</t>
  </si>
  <si>
    <t>5.Tieàn chi ñaàu tö goùp voán vaøo ñôn vò khaùc</t>
  </si>
  <si>
    <t xml:space="preserve"> 1. Thueá GTGT haøng baùn noäi ñòa</t>
  </si>
  <si>
    <t>SOÁ DÖ NÔÏ</t>
  </si>
  <si>
    <t>SOÁ DÖ COÙ</t>
  </si>
  <si>
    <t>111, 112, 113</t>
  </si>
  <si>
    <t>121, 128</t>
  </si>
  <si>
    <t>222, 223</t>
  </si>
  <si>
    <t xml:space="preserve"> Chi phí phaûi traû khaùc</t>
  </si>
  <si>
    <t>BAÛN THUYEÁT MINH BAÙO CAÙO TAØI CHÍNH</t>
  </si>
  <si>
    <t>Soá dö ñaàu naêm</t>
  </si>
  <si>
    <t xml:space="preserve"> -Mua trong naêm</t>
  </si>
  <si>
    <t xml:space="preserve"> -Ñaàu tö XDCB hoaøn thaønh</t>
  </si>
  <si>
    <t xml:space="preserve"> -Taêng khaùc</t>
  </si>
  <si>
    <t>Döï phoøng phaûi traû</t>
  </si>
  <si>
    <t xml:space="preserve"> Voán ñaàu tö cuûa chuû sôû höõu (VCÑ)</t>
  </si>
  <si>
    <t xml:space="preserve"> Voán ñaàu tö cuûa chuû sôû höõu (VLÑ)</t>
  </si>
  <si>
    <t>Caùc quyõ khaùc thuoäc voán chuû sôû höõu</t>
  </si>
  <si>
    <t>Coå phieáu quyõ</t>
  </si>
  <si>
    <t>Nhaø cöûa</t>
  </si>
  <si>
    <t>quaûn lyù</t>
  </si>
  <si>
    <t>Thieát bò duïng cuï</t>
  </si>
  <si>
    <t>TSCÑ khaùc</t>
  </si>
  <si>
    <t>Khoaûn muïc</t>
  </si>
  <si>
    <t>*Nguyeân giaù TSCÑ cuoái naêm ñaõ khaáu hao heát nhöng vaãn coøn söû duïng:</t>
  </si>
  <si>
    <t>*Nguyeân giaù TSCÑ cuoái naêm chôø thanh lyù:</t>
  </si>
  <si>
    <t>Trong ñoù: Nhöõng coâng trình lôùn:</t>
  </si>
  <si>
    <t>Naêm nay</t>
  </si>
  <si>
    <t>Naêm tröôùc</t>
  </si>
  <si>
    <t xml:space="preserve"> -Ñaàu tö ngaén haïn khaùc</t>
  </si>
  <si>
    <t xml:space="preserve"> -Ñaàu tö daøi haïn khaùc</t>
  </si>
  <si>
    <t>Coäng</t>
  </si>
  <si>
    <t>*Danh saùch caùc coâng ty con, coâng ty lieân keát, lieân doanh quan troïng</t>
  </si>
  <si>
    <t xml:space="preserve"> -Vay ngaén haïn</t>
  </si>
  <si>
    <t>1-Hình thöùc sôû höõu voán</t>
  </si>
  <si>
    <t xml:space="preserve">    +Vöôøn caây cao su KTCB</t>
  </si>
  <si>
    <t>2-Lónh vöïc kinh doanh</t>
  </si>
  <si>
    <t>3-Ngaønh ngheà kinh doanh</t>
  </si>
  <si>
    <t>1-Nguyeân taéc ghi nhaän caùc khoaûn tieàn vaø caùc khoaûn töông ñöông tieàn:</t>
  </si>
  <si>
    <t>2-Nguyeân taéc ghi nhaän haøng toàn kho:</t>
  </si>
  <si>
    <t>3-Nguyeân taéc ghi nhaän vaø khaáu hao TSCÑ vaø baát ñoäng saûn ñaàu tö:</t>
  </si>
  <si>
    <t>4-Nguyeân taéc ghi nhaän vaø khaáu hao baát ñoäng saûn ñaàu tö:</t>
  </si>
  <si>
    <t>5-Nguyeân taéc ghi nhaän caùc khoaûn ñaàu tö taøi chính:</t>
  </si>
  <si>
    <t>VIII-Nhöõng thoâng tin khaùc</t>
  </si>
  <si>
    <t>7-Nhöõng thoâng tin khaùc</t>
  </si>
  <si>
    <t>1-Nhöõng khoaûn nôï tieàm taøng, khoaûn cam keát vaø nhöõng thoâng tin taøi chính khaùc</t>
  </si>
  <si>
    <t>2-Nhöõng söï kieän phaùt sinh sau ngaøy keát thuùc kyø keá toaùn naêm</t>
  </si>
  <si>
    <t>3-Nhöõng thoâng tin veà caùc beân lieân quan</t>
  </si>
  <si>
    <t>CHEÂNH LEÄCH</t>
  </si>
  <si>
    <t>6=4-5</t>
  </si>
  <si>
    <t>4-Trình baøy taøi saûn, doanh thu, keát quaû kinh doanh theo boä phaän (theo lónh vöïc kinh doanh hoaëc khu vöïc</t>
  </si>
  <si>
    <t>ñòa lyù) theo quy ñònh cuûa Chuaån möïc keá toaùn soá 28 "Baùo caùo boä phaän"</t>
  </si>
  <si>
    <t>5-Thoâng tin so saùnh (nhöõng thay ñoåi veà thoâng tin trong baùo caùo taøi chính cuûa caùc nieän ñoä keá toaùn tröôùc)</t>
  </si>
  <si>
    <t xml:space="preserve">               LAÄP BIEÅU                                        </t>
  </si>
  <si>
    <t xml:space="preserve"> Ngoaïi teä (TGNH)</t>
  </si>
  <si>
    <t>6-Thoâng tin veà hoaït ñoäng lieân tuïc</t>
  </si>
  <si>
    <t>toaùn cuûa kyø ñoù. Keát quaû cuûa giao dòch cung caáp dòch vuï ñöôïc xaùc ñònh khi thoûa maõn caùc ñieàu kieän sau:</t>
  </si>
  <si>
    <t>dòch vuï lieân quan ñeán nhieàu kyø thì doanh thu ñöôïc ghi nhaän trong kyø theo keát quaû phaàn coâng vieäc ñaõ hoaøn thaønh vaøo ngaøy laäp Baûng Caân ñoái keá</t>
  </si>
  <si>
    <t>ñoäng taøi chính khaùc ñöôïc ghi nhaän khi thoûa maõn ñoàng thôøi hai (2) ñieàu kieän sau:</t>
  </si>
  <si>
    <t>quaû hoaït ñoäng kinh doanh:</t>
  </si>
  <si>
    <t>Caùc chi phí sau ñaây ñaõ phaùt sinh trong naêm taøi chính nhöng ñöôïc haïch toaùn vaøo chi phí traû tröôùc daøi haïn ñeå phaân boå daàn (döôùi 5 naêm) vaøo keát</t>
  </si>
  <si>
    <t>phí ñeå choïn phöông phaùp vaø tieâu thöùc phaân boå hôïp lyù.</t>
  </si>
  <si>
    <t>Vieäc tính vaø phaân boå chi phí traû tröôùc daøi haïn vaøo chi phí saûn xuaát kinh doanh trong kyø haïch toaùn ñöôïc caên cöù vaøo tính chaát, möùc ñoä töøng loaïi chi</t>
  </si>
  <si>
    <t>phí saûn xuaát kinh doanh trong naêm taøi chính.</t>
  </si>
  <si>
    <t>traùi phieáu, caùc khoaûn chi phí phuï phaùt sinh lieân quan tôùi quaù trình laøm thuû tuïc vay.</t>
  </si>
  <si>
    <t xml:space="preserve">ñöôïc tính vaøo giaù trò cuûa taøi saûn ñoù (ñöôïc voán hoùa), bao goàm caùc khoaûn laõi tieàn vay, phaân boå caùc khoaûn chieát khaáu hoaëc phuï troäi khi phaùt haønh </t>
  </si>
  <si>
    <t xml:space="preserve">Vieäc voán hoùa CP ñi vay seõ chaám döùt khi caùc hoaït ñoäng chuû yeáu caàn thieát cho vieäc chuaån bò ñöa TS dôû dang vaøo söû duïng hoaëc baùn ñaõ hoaøn thaønh. </t>
  </si>
  <si>
    <t>Caùc khoaûn thu nhaäp phaùt sinh do ñaàu tö taïm thôøi caùc khoaûn vay rieâng bieät trong khi chôø söû duïng vaøo muïc ñích coù ñöôïc taøi saûn dôû dang thì phaûi</t>
  </si>
  <si>
    <t>ghi giaûm tröø (-) vaøo chi phí ñi vay phaùt sinh khi voán hoùa.</t>
  </si>
  <si>
    <t xml:space="preserve">   6. Döï phoøng trôï caáp maát vieäc laøm</t>
  </si>
  <si>
    <t xml:space="preserve">   7. Döï phoøng phaûi traû daøi haïn</t>
  </si>
  <si>
    <t>(400 = 410 + 430)</t>
  </si>
  <si>
    <t xml:space="preserve"> Phaûi thu cuûa khaùch haøng</t>
  </si>
  <si>
    <t xml:space="preserve"> Phaûi thu </t>
  </si>
  <si>
    <t xml:space="preserve"> Ñaõ thu </t>
  </si>
  <si>
    <t xml:space="preserve"> Phaûi thu noäi boä </t>
  </si>
  <si>
    <t xml:space="preserve"> Phaûi thu noäi boä khaùc</t>
  </si>
  <si>
    <t xml:space="preserve"> Phaûi thu khaùc</t>
  </si>
  <si>
    <t xml:space="preserve"> Taïm öùng</t>
  </si>
  <si>
    <t xml:space="preserve"> Chi phí traû tröôùc</t>
  </si>
  <si>
    <t xml:space="preserve"> Nhieân lieäu </t>
  </si>
  <si>
    <t xml:space="preserve"> Phuï tuøng</t>
  </si>
  <si>
    <t xml:space="preserve"> Vaät lieäu XDCB</t>
  </si>
  <si>
    <t xml:space="preserve"> Coâng cuï-duïng cuï </t>
  </si>
  <si>
    <t xml:space="preserve"> Chi phí SXKD dôû dang</t>
  </si>
  <si>
    <t>töông ñöông tieàn trong coâng ty con hoaëc ñôn vò kinh doanh khaùc ñöôïc mua hoaëc thanh lyù trong kyø.</t>
  </si>
  <si>
    <t xml:space="preserve"> -Phaàn giaù trò taøi saûn (Toång hôïp theo töøng loaïi taøi saûn) vaø nôï phaûi traû khoâng phaûi laø tieàn vaø caùc khoaûn </t>
  </si>
  <si>
    <t xml:space="preserve"> -Soá tieàn vaø caùc khoaûn töông ñöông tieàn thöïc coù trong coâng ty con hoaëc ñôn vò KD khaùc ñöôïc mua hoaëc thanh lyù;</t>
  </si>
  <si>
    <t>doanh nghieäp naém giöõ nhöng khoâng ñöôïc söû duïng</t>
  </si>
  <si>
    <t>34-Caùc giao dòch khoâng baèng tieàn aûnh höôûng ñeán baùo caùo löu chuyeån tieàn teä vaø caùc khoaûn tieàn do</t>
  </si>
  <si>
    <t>002</t>
  </si>
  <si>
    <t>004</t>
  </si>
  <si>
    <t>Vaät tö, haøng hoùa, TSCÑ nhaän giöõ hoä</t>
  </si>
  <si>
    <t>Nôï khoù ñoøi ñaõ xöû lyù</t>
  </si>
  <si>
    <t>Saûn phaåm dôû dang cuoái kyø ñöôïc ñaùnh giaù theo phöông phaùp chi phí nguyeân lieäu vaät lieäu tröïc tieáp.</t>
  </si>
  <si>
    <t>Nhöõng chi phí khoâng ñöôïc tính vaøo giaù goác cuûa haøng toàn kho:</t>
  </si>
  <si>
    <t xml:space="preserve"> -Caùc khoaûn chieát khaáu thöông maïi vaø giaûm giaù haøng mua do haøng mua khoâng ñuùng quy caùch, phaåm chaát;</t>
  </si>
  <si>
    <t>1-Kyø keá toaùn cuûa Coâng ty baét ñaàu töø ngaøy 01/01/2009 vaø keát thuùc vaøo ngaøy 31/12/2009.</t>
  </si>
  <si>
    <t xml:space="preserve"> -Chi phí nguyeân vaät lieäu, chi phí nhaân coâng vaø caùc chi phí saûn xuaát, kinh doanh khaùc phaùt sinh treân möùc bình thöôøng;</t>
  </si>
  <si>
    <t xml:space="preserve"> -Chi phí baùn haøng;</t>
  </si>
  <si>
    <t xml:space="preserve"> -Tieàn maët</t>
  </si>
  <si>
    <t xml:space="preserve"> -Tieàn göûi Ngaân haøng</t>
  </si>
  <si>
    <t xml:space="preserve"> -Nguyeân lieäu, vaät lieäu</t>
  </si>
  <si>
    <t xml:space="preserve"> -Coâng cuï, duïng cuï</t>
  </si>
  <si>
    <t>Chi phí söû duïng maùy thi coâng</t>
  </si>
  <si>
    <t xml:space="preserve"> -Thaønh phaåm</t>
  </si>
  <si>
    <t xml:space="preserve"> -Haøng hoùa</t>
  </si>
  <si>
    <t>Coäng giaù goác haøng toàn kho</t>
  </si>
  <si>
    <t xml:space="preserve">    +Thueá GTGT</t>
  </si>
  <si>
    <t xml:space="preserve">    +Thueá TNDN</t>
  </si>
  <si>
    <t xml:space="preserve">    +Thueá nhaäp khaåu</t>
  </si>
  <si>
    <t xml:space="preserve"> TGNH No&amp;PTNT Goø Daàu (coù kyø haïn)</t>
  </si>
  <si>
    <t xml:space="preserve"> TGNH Phoøng giao dòch Goø Daàu (coù kyø haïn)</t>
  </si>
  <si>
    <t xml:space="preserve"> Thaëng dö voán coå phaàn</t>
  </si>
  <si>
    <t xml:space="preserve"> Voán khaùc</t>
  </si>
  <si>
    <t>SOÁ CUOÁI KYØ</t>
  </si>
  <si>
    <t xml:space="preserve">* Muû latex   </t>
  </si>
  <si>
    <t xml:space="preserve">* Muû latex  </t>
  </si>
  <si>
    <t>* Muû skim+taän thu</t>
  </si>
  <si>
    <t xml:space="preserve">          -Thi coâng xaây laép caùc coâng trình giao thoâng, caùc coâng trình theå thao, caáp thoaùt nöôùc, xöû lyù nöôùc thaûi, maïng löôùi ñieän ñeán 35KV, san laép maët baèng.</t>
  </si>
  <si>
    <t xml:space="preserve"> -Tieàn thueâ ñaát Noâng nghieäp</t>
  </si>
  <si>
    <t xml:space="preserve">    +Tieàn thueâ ñaát Noâng nghieäp</t>
  </si>
  <si>
    <t xml:space="preserve">    +Tieàn thueâ ñaát</t>
  </si>
  <si>
    <t xml:space="preserve">    +Thueá moân baøi</t>
  </si>
  <si>
    <t xml:space="preserve">    +Thueá TNCN</t>
  </si>
  <si>
    <t xml:space="preserve"> -Phaûi thu daøi haïn khaùc</t>
  </si>
  <si>
    <t xml:space="preserve">   2. Vaät tö, haøng hoùa, TSCÑ nhaän giöõ hoä, nhaän gia coâng</t>
  </si>
  <si>
    <t xml:space="preserve">    +Coå töùc ñaõ coâng boá treân coå phieáu öu ñaõi:</t>
  </si>
  <si>
    <t xml:space="preserve"> -Coå töùc cuûa coå phieáu öu ñaõi luõy keá chöa ñöôïc ghi nhaän:</t>
  </si>
  <si>
    <t xml:space="preserve"> -Soá löôïng coå phieáu ñöôïc pheùp phaùt haønh</t>
  </si>
  <si>
    <t xml:space="preserve">    +Coå phieáu öu ñaõi</t>
  </si>
  <si>
    <t xml:space="preserve"> -Soá löôïng coå phieáu ñöôïc mua laïi</t>
  </si>
  <si>
    <t xml:space="preserve"> -Soá löôïng coå phieáu ñang löu haønh</t>
  </si>
  <si>
    <t xml:space="preserve"> -</t>
  </si>
  <si>
    <t xml:space="preserve"> -Nguoàn kinh phí ñöôïc caáp trong naêm</t>
  </si>
  <si>
    <t xml:space="preserve"> -Chi söï nghieäp</t>
  </si>
  <si>
    <t xml:space="preserve"> -Nguoàn kinh phí coøn laïi cuoái kyø</t>
  </si>
  <si>
    <t xml:space="preserve"> -TSCÑ thueâ ngoaøi</t>
  </si>
  <si>
    <t xml:space="preserve"> -Taøi saûn khaùc thueâ ngoaøi</t>
  </si>
  <si>
    <t xml:space="preserve"> -Treân 5 naêm</t>
  </si>
  <si>
    <t xml:space="preserve"> -Laõi tieàn göûi, tieàn cho vay</t>
  </si>
  <si>
    <t xml:space="preserve"> -Coå töùc, lôïi nhuaän ñöôïc chia</t>
  </si>
  <si>
    <t xml:space="preserve"> -Laõi baùn ngoaïi teä</t>
  </si>
  <si>
    <t xml:space="preserve"> -Laõi baùn haøng traû chaäm</t>
  </si>
  <si>
    <t xml:space="preserve"> -Doanh thu hoaït ñoäng taøi chính khaùc</t>
  </si>
  <si>
    <t xml:space="preserve"> -Giaù voán cuûa dòch vuï ñaõ cung caáp</t>
  </si>
  <si>
    <t xml:space="preserve"> -Mua doanh nghieäp thoâng qua phaùt haønh coå phieáu</t>
  </si>
  <si>
    <t xml:space="preserve"> -Chuyeån nôï thaønh voán chuû sôû höõu</t>
  </si>
  <si>
    <t xml:space="preserve"> -Toång giaù trò mua hoaëc thanh lyù;</t>
  </si>
  <si>
    <t xml:space="preserve"> -Phaàn giaù trò mua hoaëc thanh lyù ñöôïc thanh toaùn baèng tieàn vaø caùc khoaûn töông ñöông tieàn;</t>
  </si>
  <si>
    <t>TRAÀN NGOÏC AÅN</t>
  </si>
  <si>
    <t xml:space="preserve"> -Caùc khoaûn phaûi traû, phaûi noäp khaùc</t>
  </si>
  <si>
    <t>19-Phaûi traû daøi haïn noäi boä:</t>
  </si>
  <si>
    <t xml:space="preserve"> -Vay daøi haïn noäi boä</t>
  </si>
  <si>
    <t xml:space="preserve"> -Phaûi traû daøi haïn noäi boä khaùc</t>
  </si>
  <si>
    <t xml:space="preserve"> -Vay Ngaân haøng</t>
  </si>
  <si>
    <t xml:space="preserve"> -Vay ñoái töôïng khaùc</t>
  </si>
  <si>
    <t xml:space="preserve"> -Thueâ taøi chính</t>
  </si>
  <si>
    <t xml:space="preserve"> -Nôï daøi haïn khaùc</t>
  </si>
  <si>
    <t>Soá dö ñaàu naêm tröôùc</t>
  </si>
  <si>
    <t xml:space="preserve"> -Taêng voán trong naêm tröôùc</t>
  </si>
  <si>
    <t>Soá dö cuoái naêm nay</t>
  </si>
  <si>
    <t>*Giaù trò traùi phieáu ñaõ chuyeån thaønh coå phieáu trong naêm</t>
  </si>
  <si>
    <t xml:space="preserve"> -Voán ñaàu tö cuûa chuû sôû höõu</t>
  </si>
  <si>
    <t xml:space="preserve">    +Voán goùp ñaàu naêm</t>
  </si>
  <si>
    <t xml:space="preserve">    +Voán goùp taêng trong naêm</t>
  </si>
  <si>
    <t xml:space="preserve">    +Voán goùp giaûm trong naêm</t>
  </si>
  <si>
    <t xml:space="preserve">    +Voán goùp cuoái naêm</t>
  </si>
  <si>
    <t xml:space="preserve"> -Coå töùc, lôïi nhuaän ñaõ chia</t>
  </si>
  <si>
    <t xml:space="preserve">    +Toång doanh thu luõy keá cuûa hôïp ñoàng xaây döïng ñöôïc ghi nhaän ñeán thôøi ñieåm laäp baùo caùo taøi chính;</t>
  </si>
  <si>
    <t xml:space="preserve"> -Chieát khaáu thöông maïi</t>
  </si>
  <si>
    <t xml:space="preserve"> -Giaûm giaù haøng baùn</t>
  </si>
  <si>
    <t xml:space="preserve"> -Haøng baùn bò traû laïi</t>
  </si>
  <si>
    <t xml:space="preserve"> -Thueá GTGT phaûi noäp (phöông phaùp tröïc tieáp)</t>
  </si>
  <si>
    <t xml:space="preserve"> -Thueá xuaát khaåu</t>
  </si>
  <si>
    <t xml:space="preserve"> -Thueá tieâu thuï ñaëc bieät</t>
  </si>
  <si>
    <t>26-Caùc khoaûn giaûm tröø doanh thu (Maõ soá 02):</t>
  </si>
  <si>
    <t>27-Doanh thu thuaàn veà baùn haøng vaø cung caáp dòch vuï (Maõ soá 10):</t>
  </si>
  <si>
    <t>28-Giaù voán haøng baùn (Maõ soá 11):</t>
  </si>
  <si>
    <t xml:space="preserve"> -Giaù voán cuûa haøng hoùa ñaõ baùn</t>
  </si>
  <si>
    <t xml:space="preserve"> -Giaù voán cuûa thaønh phaåm ñaõ baùn</t>
  </si>
  <si>
    <t>16.1-Thueá phaûi noäp Nhaø nöôùc</t>
  </si>
  <si>
    <t>16.2-Caùc khoaûn phaûi noäp khaùc</t>
  </si>
  <si>
    <t xml:space="preserve"> -Caùc khoaûn phí, leä phí</t>
  </si>
  <si>
    <t xml:space="preserve"> -Caùc khoaûn phaûi noäp khaùc</t>
  </si>
  <si>
    <t>17-Chi phí phaûi traû:</t>
  </si>
  <si>
    <t>16-Thueá vaø caùc khoaûn phaûi noäp Nhaø nöôùc:</t>
  </si>
  <si>
    <t>Caùc khoaûn treân ñöôïc ghi nhaän theo toång soá phaùt sinh trong, khoâng buø tröø vôùi doanh thu hoaït ñoäng taøi chính.</t>
  </si>
  <si>
    <t xml:space="preserve"> *Noäi ñòa (TP cheá bieán)</t>
  </si>
  <si>
    <t xml:space="preserve"> *Noäi ñòa (TP khoâng cheá bieán)</t>
  </si>
  <si>
    <t>13-Nguyeân taéc vaø phöông phaùp ghi nhaän chi phí tthueá thu nhaäp doanh nghieäp hieän haønh, chi phí thueá thu nhaäp hoaõn laïi:</t>
  </si>
  <si>
    <t>14-Caùc nghieäp vuï döï phoønp ruûi ro hoái ñoaùi:</t>
  </si>
  <si>
    <t>15-Caùc nguyeân taéc vaø phöông phaùp keá toaùn khaùc:</t>
  </si>
  <si>
    <t>V-Thoâng tin boå sung cho caùc khoaûn muïc trình baøy treân Baûng caân ñoái keá toaùn:</t>
  </si>
  <si>
    <t>1-Tieàn:</t>
  </si>
  <si>
    <t>Cuoái naêm</t>
  </si>
  <si>
    <t>2-Caùc khoaûn ñaàu tö taøi chính ngaén haïn:</t>
  </si>
  <si>
    <t>Ñaàu naêm</t>
  </si>
  <si>
    <t xml:space="preserve"> -Chöùng khoaùn ñaàu tö ngaén haïn</t>
  </si>
  <si>
    <t xml:space="preserve"> -Döï phoøng giaûm giaù ñaàu tö ngaén haïn</t>
  </si>
  <si>
    <t>3-Caùc khoaûn phaûi thu ngaén haïn khaùc:</t>
  </si>
  <si>
    <t xml:space="preserve"> -Phaûi thu khaùc</t>
  </si>
  <si>
    <t>4-Haøng toàn kho:</t>
  </si>
  <si>
    <t xml:space="preserve"> -Haøng mua ñang ñi ñöôøng</t>
  </si>
  <si>
    <t xml:space="preserve"> -Chi phí SX, KD dôû dang</t>
  </si>
  <si>
    <t>Ngaøy 31/12/2008</t>
  </si>
  <si>
    <t xml:space="preserve"> -Haøng göûi ñi baùn</t>
  </si>
  <si>
    <t xml:space="preserve"> -Haøng hoùa kho baûo thueá</t>
  </si>
  <si>
    <t xml:space="preserve"> -Haøng hoùa baát ñoäng saûn</t>
  </si>
  <si>
    <t xml:space="preserve"> -Caùc khoaûn khaùc phaûi thu Nhaø nöôùc</t>
  </si>
  <si>
    <t>5-Thueá vaø caùc khoaûn phaûi thu Nhaø nöôùc:</t>
  </si>
  <si>
    <t>7-Phaûi thu daøi haïn khaùc:</t>
  </si>
  <si>
    <t xml:space="preserve"> -Kyù quyõ, kyù cöôïc daøi haïn</t>
  </si>
  <si>
    <t xml:space="preserve"> -Caùc khoaûn tieàn nhaän uûy thaùc</t>
  </si>
  <si>
    <t xml:space="preserve"> -Cho vay khoâng coù laõi</t>
  </si>
  <si>
    <t>8-Taêng, giaûm TSCÑ höõu hình:</t>
  </si>
  <si>
    <t>Phaûi traû veà coå phaàn hoùa (Toång Cty)</t>
  </si>
  <si>
    <t>*Giaù trò ghi soå cuûa haøng toàn khoduøng ñeå theá chaáp, caàm coá ñaûm baûo caùc khoaûn nôï phaûi traû:</t>
  </si>
  <si>
    <t>*Giaù trò hoaøn nhaäp döï phoøng giaûm giaù haøng toàn kho trong naêm:</t>
  </si>
  <si>
    <t>*Caùc tröôøng hôïp hoaëc söï kieän daãn ñeán phaûi trích theâm hoaëc hoaøn nhaäp döï phoøng giaûm giaù haøng toàn kho:</t>
  </si>
  <si>
    <t xml:space="preserve">        Giaáy Chöùng nhaän ñaêng kyù kinh doanh soá 4503000058, ñaêng kyù laàn ñaàu ngaøy 28/12/2006.</t>
  </si>
  <si>
    <t xml:space="preserve">        Coâng ty Coå phaàn Cao su Taây Ninh ñöôïc thaønh laäp theo Quyeát ñònh soá 3549/2004/QÑ-BNN-ÑMDN ngaøy 21 thaùng 11 naêm 2006 cuûa Boä Noâng</t>
  </si>
  <si>
    <t>nghieäp vaø Phaùt trieån Noâng thoân, Toång Coâng ty Cao su Vieät Nam laø Chuû sôû höõu.</t>
  </si>
  <si>
    <t>*Giaù trò coøn laïi cuoái naêm cuûa TSCÑ höõu hình ñaõ duøng theá chaáp, caàm coá ñaûm baûo caùc khoaûn vay:</t>
  </si>
  <si>
    <t>*Caùc cam keát veà vieäc mua, baùn TSCÑ höõu hình coù giaù trò lôùn trong töông lai:</t>
  </si>
  <si>
    <t>*Caùc thay ñoåi khaùc veà TSCÑ höõu hình:</t>
  </si>
  <si>
    <t>I-Nguyeân giaù TSCÑ thueâ TC</t>
  </si>
  <si>
    <t xml:space="preserve"> -Thueâ taøi chính trong naêm</t>
  </si>
  <si>
    <t xml:space="preserve"> -Mua laïi TSCÑ thueâ taøi chính</t>
  </si>
  <si>
    <t xml:space="preserve"> -Traû laïi TSCÑ thueâ taøi chính</t>
  </si>
  <si>
    <t>III-GTCL cuûa TSCÑ thueâ TC</t>
  </si>
  <si>
    <t>*Caên cöù ñeå xaùc ñònh tieàn thueâ phaùt sinh theâm:</t>
  </si>
  <si>
    <t>*Tieàn phaùt sinh theâm ñöôïc ghi nhaän trong naêm:</t>
  </si>
  <si>
    <t>*Ñieàu khoaûn gia haïn thueâ hoaëc quyeàn ñöôïc mua taøi saûn:</t>
  </si>
  <si>
    <t>I-Nguyeân giaù TSCÑ voâ hình</t>
  </si>
  <si>
    <t xml:space="preserve"> -Taêng do hôïp nhaát kinh doanh</t>
  </si>
  <si>
    <t>*Thuyeát minh soá lieäu vaø giaûi trình khaùc:</t>
  </si>
  <si>
    <t>11-Chi phí XDCB dôû dang</t>
  </si>
  <si>
    <t xml:space="preserve"> -Toång chi phí XDCB dôû dang:</t>
  </si>
  <si>
    <t>12-Taêng, giaûm baát ñoäng saûn ñaàu tö:</t>
  </si>
  <si>
    <t>Nguyeân giaù BÑS ñaàu tö</t>
  </si>
  <si>
    <t xml:space="preserve"> -Quyeàn söû duïng ñaát</t>
  </si>
  <si>
    <t xml:space="preserve"> -Nhaø</t>
  </si>
  <si>
    <t xml:space="preserve"> -Nhaø vaø quyeàn söû duïng ñaát</t>
  </si>
  <si>
    <t xml:space="preserve"> -Cô sôû haï taàng</t>
  </si>
  <si>
    <t>Giaù trò hao moøn luõy keá</t>
  </si>
  <si>
    <t>Giaù trò coøn laïi cuûa BÑS ñaàu tö</t>
  </si>
  <si>
    <t>Soá</t>
  </si>
  <si>
    <t>ñaàu naêm</t>
  </si>
  <si>
    <t>trong naêm</t>
  </si>
  <si>
    <t>cuoái naêm</t>
  </si>
  <si>
    <t xml:space="preserve"> -Ñaàu tö coå phieáu</t>
  </si>
  <si>
    <t xml:space="preserve"> -Ñaàu tö traùi phieáu</t>
  </si>
  <si>
    <t xml:space="preserve"> -Ñaàu tö tín phieáu, kyù phieáu</t>
  </si>
  <si>
    <t>Vaät kieán truùc</t>
  </si>
  <si>
    <t xml:space="preserve"> -Taêng khaùc (ÑGL)</t>
  </si>
  <si>
    <t>I-Ñaëc ñieåm hoaït ñoäng cuûa doanh nghieäp:</t>
  </si>
  <si>
    <t>III-Chuaån möïc vaø cheá ñoä keá toaùn aùp duïng:</t>
  </si>
  <si>
    <t>II-Kyø keá toaùn, ñôn vò tieàn teä söû duïng trong keá toaùn:</t>
  </si>
  <si>
    <t>IV-Caùc chính saùch keá toaùn aùp duïng:</t>
  </si>
  <si>
    <t>Taêng</t>
  </si>
  <si>
    <t>Giaûm</t>
  </si>
  <si>
    <t>phöông phaùp giaù goác. LN thuaàn ñöôïc chia töø coâng ty con, coâng ty lieân keát phaùt sinh sau ngaøy ñaàu tö ñöôïc ghi nhaän vaøo Baùo caùo KQ HÑKD.</t>
  </si>
  <si>
    <t>Caùc khoaûn ñöôïc chia khaùc (ngoaøi LN thuaàn) ñöôïc coi laø phaàn thu hoài caùc khoaûn ñaàu tö vaø ñöôïc ghi nhaän laø khoaûn giaûm tröø giaù goác ñaàu tö.</t>
  </si>
  <si>
    <t>ñöôïc ghi nhaän theo nguyeân giaù, hao moøn luõy keá vaø giaù trò coøn laïi.</t>
  </si>
  <si>
    <t>giaù goác haøng toàn kho lôùn hôn giaù trò thuaàn coù theå thöïc hieän ñöôïc cuûa chuùng.</t>
  </si>
  <si>
    <t>kho phaùt sinh trong quaù trình mua haøng;</t>
  </si>
  <si>
    <t xml:space="preserve"> -Chi phí baûo quaûn haøng toàn kho tröø caùc chi phí baûo quaûn haøng toàn kho caàn thieát cho quaù trình saûn xuaát tieáp theo vaø chi phí baûo quaûn haøng toàn </t>
  </si>
  <si>
    <t xml:space="preserve">thì phaûi tính theo giaù trò thuaàn coù theå thöïc hieän ñöôïc. Giaù goác haøng toàn kho bao goàm chi phí mua, chi phí cheá bieán vaø caùc chi phí lieân quan tröïc </t>
  </si>
  <si>
    <t>tieáp khaùc phaùt sinh ñeå coù ñöôïc haøng toàn kho ôû ñòa ñieåm vaø traïng thaùi hieän taïi.</t>
  </si>
  <si>
    <t>Giaù goác cuûa haøng toàn kho mua ngoaøi bao goàm giaù mua, caùc loaïi thueá khoâng ñöôïc hoaøn laïi, chi phí vaän chuyeån, boác xeáp, baûo quaûn trong quaù trình</t>
  </si>
  <si>
    <t>b.4.1) Chi phí thueá TNDN hieän haønh theo thueá suaát hieän haønh 15%: (b.4.1= b.3 x 15%)</t>
  </si>
  <si>
    <t xml:space="preserve">     +Laõi cheânh leäch tyû giaù ñaõ thöïc hieän (Laõi cheânh leäch tyû giaù hoái ñoaùi do ñaùnh giaù laïi caùc TK)</t>
  </si>
  <si>
    <t>Giaù goác cuûa haøng toàn kho do ñôn vò töï saûn xuaát bao goàm chi phí nguyeân lieäu vaät lieäu tröïc tieáp, chi phí nhaân coâng tröïc tieáp, chi phí saûn xuaát chung</t>
  </si>
  <si>
    <t>chuyeån vaøo doanh thu hoaëc chi phí taøi chính trong naêm taøi chính.</t>
  </si>
  <si>
    <t xml:space="preserve">Cheânh leäch tyû giaù thöïc teá phaùt sinh trong kyø vaø cheânh leäch tyû giaù do ñaùnh giaù laïi soá dö caùc khoaûn muïc tieàn teä taïi thôøi ñieåm cuoái naêm ñöôïc keát </t>
  </si>
  <si>
    <t>goác ngoaïi teä ñöôïc quy ñoåi theo tyû giaù bình quaân lieân ngaân haøng do Ngaân haøng Nhaø nöôùc Vieät Nam coâng boá vaøo ngaøy keát thuùc nieân ñoä keá toaùn.</t>
  </si>
  <si>
    <t>ñöôïc quy ñoåi ra ñoàng Vieät Nam theo tyû giaù giao dòch thöïc teá taïi thôøi ñieåm phaùt sinh nghieäp vuï. Taïi thôøi ñieåm cuoái naêm caùc khoaûn muïc tieàn teä coù</t>
  </si>
  <si>
    <t>tieàn vaø khoâng coù nhieàu ruûi ro trong chuyeån ñoåi thaønh tieàn keå töø ngaøy mua khoaûn ñaàu tö ñoù taïi thôøi ñieåm baùo caùo.</t>
  </si>
  <si>
    <t xml:space="preserve"> -Taêng voán trong naêm nay</t>
  </si>
  <si>
    <t xml:space="preserve"> -Giaûm voán trong naêm nay</t>
  </si>
  <si>
    <t xml:space="preserve"> -Quyõ döï phoøng taøi chính</t>
  </si>
  <si>
    <t xml:space="preserve"> 5. Tieàn thueâ ñaát XD</t>
  </si>
  <si>
    <t xml:space="preserve"> 6. Thueá moân baøi</t>
  </si>
  <si>
    <t xml:space="preserve"> 7. Thueá thu nhaäp caù nhaân</t>
  </si>
  <si>
    <t xml:space="preserve">                LAÄP BIEÅU  </t>
  </si>
  <si>
    <t xml:space="preserve">   -Thueá GTGT ñaàu ra:</t>
  </si>
  <si>
    <t xml:space="preserve">   -Thueá GTGT phaûi noäp:</t>
  </si>
  <si>
    <t xml:space="preserve">   -Thueá GTGT ñaàu vaøo phaùt sinh:</t>
  </si>
  <si>
    <t xml:space="preserve">   -Thueá GTGT ñaàu vaøo ñöôïc khaáu tröø:</t>
  </si>
  <si>
    <r>
      <t>2.3</t>
    </r>
    <r>
      <rPr>
        <sz val="12"/>
        <rFont val="VNI-Times"/>
        <family val="0"/>
      </rPr>
      <t xml:space="preserve"> -Phöông phaùp haïch toaùn haøng toàn kho: Coâng ty aùp duïng phöông phaùp keâ khai thöôøng xuyeân.</t>
    </r>
  </si>
  <si>
    <r>
      <t>2.4</t>
    </r>
    <r>
      <rPr>
        <sz val="12"/>
        <rFont val="VNI-Times"/>
        <family val="0"/>
      </rPr>
      <t xml:space="preserve"> -Phöông phaùp laäp döï phoøng giaûm giaù haøng toàn kho: Döï phoøng giaûm giaù haøng toàn kho ñöôïc laäp vaøo thôøi ñieåm cuoái naêm laø soá cheânh leäch giöõa</t>
    </r>
  </si>
  <si>
    <r>
      <t>3.1</t>
    </r>
    <r>
      <rPr>
        <sz val="12"/>
        <rFont val="VNI-Times"/>
        <family val="0"/>
      </rPr>
      <t xml:space="preserve"> -Nguyeân taéc ghi nhaän TSCÑ höõu hình, TSCÑ voâ hình: Taøi saûn coá ñònh ñöôïc ghi nhaän theo giaù goác. Trong quaù trình söû duïng, taøi saûn coá ñònh</t>
    </r>
  </si>
  <si>
    <r>
      <t>3.2</t>
    </r>
    <r>
      <rPr>
        <sz val="12"/>
        <rFont val="VNI-Times"/>
        <family val="0"/>
      </rPr>
      <t xml:space="preserve"> -Phöông phaùp khaáu hao TSCÑ höõu hình, TSCÑ voâ hình: Khaáu hao ñöôïc trích theo ñöôøng thaúng. Thôøi gian khaáu hao ñöôïc öôùc tính nhö sau:</t>
    </r>
  </si>
  <si>
    <r>
      <t>5.1</t>
    </r>
    <r>
      <rPr>
        <sz val="12"/>
        <rFont val="VNI-Times"/>
        <family val="0"/>
      </rPr>
      <t xml:space="preserve"> -Nguyeân taéc ghi nhaän caùc khoaûn ñaàu tö vaøo coâng ty con, coâng ty lieân keát: Khoaûn ñaàu tö vaøo coâng ty con, coâng ty lieân keát ñöôïc keá toaùn theo</t>
    </r>
  </si>
  <si>
    <r>
      <t>5.2</t>
    </r>
    <r>
      <rPr>
        <sz val="12"/>
        <rFont val="VNI-Times"/>
        <family val="0"/>
      </rPr>
      <t xml:space="preserve"> -Nguyeân taéc ghi nhaän caùc khoaûn ñaàu tö chöùng khoaùn ngaén haïn, daøi haïn: Caùc khoaûn ñaàu tö chöùng khoaùn taïi thôøi ñieåm baùo caùo, neáu:</t>
    </r>
  </si>
  <si>
    <r>
      <t>5.3</t>
    </r>
    <r>
      <rPr>
        <sz val="12"/>
        <rFont val="VNI-Times"/>
        <family val="0"/>
      </rPr>
      <t xml:space="preserve"> -Nguyeân taéc ghi nhaän caùc khoaûn ñaàu tö ngaén haïn, daøi haïn khaùc: caùc khoaûn ñaàu tö khaùc taïi thôøi ñieåm baùo caùo, neáu:</t>
    </r>
  </si>
  <si>
    <r>
      <t>5.4</t>
    </r>
    <r>
      <rPr>
        <sz val="12"/>
        <rFont val="VNI-Times"/>
        <family val="0"/>
      </rPr>
      <t xml:space="preserve"> -Phöông phaùp laäp döï phoøng giaûm giaù ñaàu tö chöùng khoaùn ngaén haïn, daøi haïn: Döï phoøng giaûm giaù ñaàu tö ñöôïc laäp vaøo thôøi ñieåm cuoái naêm laø </t>
    </r>
  </si>
  <si>
    <r>
      <t>6.1</t>
    </r>
    <r>
      <rPr>
        <sz val="12"/>
        <rFont val="VNI-Times"/>
        <family val="0"/>
      </rPr>
      <t xml:space="preserve"> -Nguyeân taéc voán hoùa caùc khoaûn chi phí ñi vay: Chi phí ñi vay lieân quan tröïc tieáp ñeán vieäc ñaàu tö xaây döïng hoaëc saûn xuaát taøi saûn dôû dang </t>
    </r>
  </si>
  <si>
    <t xml:space="preserve">       Coâng ty aùp duïng cheá ñoä keá toaùn Vieät Nam ban haønh theo Quyeát ñònh soá 15/2006-QÑ/BTC ngaøy 01/11/1995, QÑ soá 167/2000/QÑ-BTC ngaøy 20/03/2006</t>
  </si>
  <si>
    <t>cuûa Boä Taøi chính, Chuaån möïc keá toaùn Vieät Nam do Boä Taøi chính ban haønh vaø caùc vaên baûn söûa ñoåi, boå sung, höôùng daãn thöïc hieän keøm theo.</t>
  </si>
  <si>
    <t xml:space="preserve">        Coâng ty TNHH moät thaønh vieân Cao su Taây Ninh ñöôïc thaønh laäp theo Quyeát ñònh soá 93/2004/QÑ-TTg ngaøy 27 thaùng 05 naêm 2004 cuûa Thuû </t>
  </si>
  <si>
    <t>töôùng Chính phuû, Toång Coâng ty Cao su Vieät Nam laø Chuû sôû höõu.</t>
  </si>
  <si>
    <t xml:space="preserve"> -Taïo ra töø noäi boä doanh nghieäp</t>
  </si>
  <si>
    <t xml:space="preserve"> -Cho vay daøi haïn</t>
  </si>
  <si>
    <t>a</t>
  </si>
  <si>
    <t>b</t>
  </si>
  <si>
    <t>c</t>
  </si>
  <si>
    <t>13-Ñaàu tö daøi haïn khaùc:</t>
  </si>
  <si>
    <t xml:space="preserve"> -Taïi ngaøy cuoái naêm</t>
  </si>
  <si>
    <t>Maùy moùc</t>
  </si>
  <si>
    <t>thieát bò</t>
  </si>
  <si>
    <t>Bieåu 11</t>
  </si>
  <si>
    <t>taûi truyeàn daãn</t>
  </si>
  <si>
    <t>Phöông tieän vaän</t>
  </si>
  <si>
    <t xml:space="preserve"> Phaûi thu veà coå phaàn hoùa</t>
  </si>
  <si>
    <t xml:space="preserve"> Chi phí SXKD dôû dang (Coâng trình ngoaøi)</t>
  </si>
  <si>
    <t xml:space="preserve"> Haøng hoùa kho baûo thueá</t>
  </si>
  <si>
    <t xml:space="preserve"> Ñaàu tö vaøo coâng ty lieân keát</t>
  </si>
  <si>
    <t xml:space="preserve"> Traùi phieáu</t>
  </si>
  <si>
    <t xml:space="preserve"> Coå phieáu</t>
  </si>
  <si>
    <t>Taøi saûn thueá thu nhaäp hoaõn laïi</t>
  </si>
  <si>
    <t>Thueá thu nhaäp hoaõn laïi phaûi traû</t>
  </si>
  <si>
    <t>Quyõ döï phoøng trôï caáp maát vieäc laøm</t>
  </si>
  <si>
    <t>18-Caùc khoaûn phaûi traû, phaûi noäp ngaén haïn khaùc:</t>
  </si>
  <si>
    <t xml:space="preserve"> -Phaûi traû veà coå phaàn hoùa</t>
  </si>
  <si>
    <t xml:space="preserve"> -Nhaän kyù quyõ, kyù cöôïc ngaén haïn</t>
  </si>
  <si>
    <t xml:space="preserve"> -……………………………………</t>
  </si>
  <si>
    <t>20-Vay vaø nôï daøi haïn:</t>
  </si>
  <si>
    <t>a-Vay daøi haïn</t>
  </si>
  <si>
    <t>b-Nôï daøi haïn</t>
  </si>
  <si>
    <t xml:space="preserve"> -Caùc khoaûn nôï thueâ taøi chính</t>
  </si>
  <si>
    <t>Toång khoaûn</t>
  </si>
  <si>
    <t>thanh toaùn tieàn</t>
  </si>
  <si>
    <t>thueâ taøi chính</t>
  </si>
  <si>
    <t>Traû</t>
  </si>
  <si>
    <t>tieàn laõi</t>
  </si>
  <si>
    <t>thueâ</t>
  </si>
  <si>
    <t>nôï</t>
  </si>
  <si>
    <t>goác</t>
  </si>
  <si>
    <t>Thôøi haïn</t>
  </si>
  <si>
    <t>Töø 1 naêm trôû xuoáng</t>
  </si>
  <si>
    <t>Treân 1 naêm ñeán 5 naêm</t>
  </si>
  <si>
    <t>Treân 5 naêm</t>
  </si>
  <si>
    <t>a-Taøi saûn thueá thu nhaäp hoaõn laïi</t>
  </si>
  <si>
    <t xml:space="preserve"> -Taøi saûn thueá thu nhaäp hoaõn laïi lieân quan ñeán khoaûn cheânh leäch taïm thôøi ñöôïc khaáu tröø</t>
  </si>
  <si>
    <t xml:space="preserve"> -Taøi saûn thueá thu nhaäp hoaõn laïi lieân quan ñeán khoaûn öu ñaõi tính thueá chöa söû duïng</t>
  </si>
  <si>
    <t xml:space="preserve">           Coâng ty aùp duïng caùc Chuaån möïc keá toaùn Vieät Nam vaø caùc vaên baûnhöôùng daãn chuaån möïc do Nhaø nöôùc ñaõ ban haønh. Caùc baùo caùo taøi chính</t>
  </si>
  <si>
    <t>ñöôïc laäp vaø trình baøy theo ñuùng qui ñònh cuûa töøng chuaån möïc, thoâng tö höôùng daãn thöïc hieän chuaån möïc vaø cheá ñoä keá toaùn hieän haønh aùp duïng.</t>
  </si>
  <si>
    <t xml:space="preserve"> -Tyû giaù lieân ngaân haøng do Ngaân haøng Nhaø nöôùc Vieät Nam coâng boá taïi ngaøy 28/12/2006 laø 16.091 ñoàng/USD.</t>
  </si>
  <si>
    <t>Vöôøn caây cao su: Tyû leä khaáu hao ñöôïc thöïc hieän theo Coâng vaên soá 42/TCDN/NV3 ngaøy 02/02/2005 cuûa Cuïc taøi chính doanh nghieäp-Boä Taøi chính</t>
  </si>
  <si>
    <t>v/v Ñieàu chænh khaáu hao vöôøn caây vaø Coâng vaên soá 165/QÑ-TCKT ngaøy 21/02/2005 cuûa Toång Coâng ty Cao su Vieät Nam v/v Ban haønh tyû leä trích</t>
  </si>
  <si>
    <t xml:space="preserve"> TGNH No&amp;PTNT CN Phan Ñình Phuøng</t>
  </si>
  <si>
    <t xml:space="preserve"> TG SGDII NH Coâng thöông VN</t>
  </si>
  <si>
    <t xml:space="preserve"> TGNH USD-SGD II (kyù quyõ)</t>
  </si>
  <si>
    <t xml:space="preserve"> TGNH TMCP Saøi Goøn Thöông tín Taây Ninh</t>
  </si>
  <si>
    <t>0073</t>
  </si>
  <si>
    <t xml:space="preserve"> khaáu hao vöôøn caây cao su theo chu kyø khai thaùc 20 naêm, cuï theå:</t>
  </si>
  <si>
    <t>Naêm khai thaùc</t>
  </si>
  <si>
    <t xml:space="preserve">        -Naêm thöù 1</t>
  </si>
  <si>
    <t>14-Chi phí traû tröôùc daøi haïn:</t>
  </si>
  <si>
    <t xml:space="preserve"> -Chi phí thaønh laäp doanh nghieäp</t>
  </si>
  <si>
    <t xml:space="preserve"> -Chi phí nghieân cöùu coù giaù trò lôùn</t>
  </si>
  <si>
    <t xml:space="preserve"> -Chi phí cho giai ñoaïn trieån khai khoâng ñuû tieâu chuaån ghi nhaän laø TSCÑ voâ hình</t>
  </si>
  <si>
    <t>15-Vay vaø nôï ngaén haïn:</t>
  </si>
  <si>
    <t xml:space="preserve"> -Nôï daøi haïn ñeán haïn traû</t>
  </si>
  <si>
    <t xml:space="preserve"> -Chi phí phaûi traû khaùc</t>
  </si>
  <si>
    <t xml:space="preserve"> -Chi phí söûa chöõa lôùn TSCÑ</t>
  </si>
  <si>
    <t xml:space="preserve"> -Chi phí trong thôøi gian ngöøng kinh doanh</t>
  </si>
  <si>
    <t xml:space="preserve"> -Traùi phieáu phaùt haønh</t>
  </si>
  <si>
    <t xml:space="preserve">Soá dö cuoái naêm tröôùc </t>
  </si>
  <si>
    <t>Soá dö ñaàu naêm nay</t>
  </si>
  <si>
    <t xml:space="preserve">CHÆ TIEÂU </t>
  </si>
  <si>
    <t>Soá coøn phaûi noäp</t>
  </si>
  <si>
    <t xml:space="preserve">Soá </t>
  </si>
  <si>
    <t>kyø tröôùc</t>
  </si>
  <si>
    <t>phaûi noäp</t>
  </si>
  <si>
    <t>ñaõ noäp</t>
  </si>
  <si>
    <t xml:space="preserve">ñeán cuoái kyø naøy </t>
  </si>
  <si>
    <t>(300 = 310 + 330)</t>
  </si>
  <si>
    <t xml:space="preserve">   5. Phaûi traû ngöôøi lao ñoäng</t>
  </si>
  <si>
    <t xml:space="preserve">   9. Caùc khoaûn phaûi traû, phaûi noäp ngaén haïn khaùc</t>
  </si>
  <si>
    <t xml:space="preserve"> 10. Döï phoøng phaûi traû ngaén haïn</t>
  </si>
  <si>
    <t xml:space="preserve">   -Chi phí chuyeån ñòa ñieåm, chi phí toå chöùc laïi doanh nghieäp;</t>
  </si>
  <si>
    <t xml:space="preserve"> Chi phí SXKD dôû dang (SX Troàng troït)</t>
  </si>
  <si>
    <t xml:space="preserve"> Chi phí SXKD dôû dang (SX CB Coám)</t>
  </si>
  <si>
    <t xml:space="preserve"> Chi phí SXKD dôû dang (SX CB kem)</t>
  </si>
  <si>
    <t xml:space="preserve"> Chi phí SXKD dôû dang (SX phuï)</t>
  </si>
  <si>
    <t xml:space="preserve"> Thaønh phaåm</t>
  </si>
  <si>
    <t xml:space="preserve"> TP Muû coám Cty </t>
  </si>
  <si>
    <t xml:space="preserve"> TP Muû coám Mua ngoaøi</t>
  </si>
  <si>
    <t xml:space="preserve"> TP Muû coám Gia coâng</t>
  </si>
  <si>
    <t>I-Nguyeân giaù TSCÑ höõu hình</t>
  </si>
  <si>
    <t>II-Giaù trò hao moøn luõy keá</t>
  </si>
  <si>
    <t>III-GTCL cuûa TSCÑ höõu hình</t>
  </si>
  <si>
    <t xml:space="preserve"> Chi söï nghieäp</t>
  </si>
  <si>
    <t xml:space="preserve"> TSCÑ höõu hình</t>
  </si>
  <si>
    <t xml:space="preserve"> Hao moøn TSCÑ</t>
  </si>
  <si>
    <t xml:space="preserve"> Ñaàu tö daøi haïn khaùc</t>
  </si>
  <si>
    <t xml:space="preserve"> XDCB dôû dang</t>
  </si>
  <si>
    <t xml:space="preserve">LOAÏI III: NÔÏ PHAÛI TRAÛ </t>
  </si>
  <si>
    <t xml:space="preserve"> Nôï daøi haïn ñeán haïn traû </t>
  </si>
  <si>
    <t xml:space="preserve"> Phaûi traû cho ngöôøi baùn</t>
  </si>
  <si>
    <t xml:space="preserve"> Ñaõ traû </t>
  </si>
  <si>
    <t xml:space="preserve"> Phaûi traû </t>
  </si>
  <si>
    <t>Thaëng dö</t>
  </si>
  <si>
    <t>voán coå phaàn</t>
  </si>
  <si>
    <t>Voán khaùc cuûa</t>
  </si>
  <si>
    <t xml:space="preserve"> -Laõi trong naêm tröôùc</t>
  </si>
  <si>
    <t xml:space="preserve"> -Loã trong naêm tröôùc</t>
  </si>
  <si>
    <t xml:space="preserve"> -Laõi trong naêm nay</t>
  </si>
  <si>
    <t xml:space="preserve"> -Loã trong naêm nay</t>
  </si>
  <si>
    <t>chuû sôû höõu (*)</t>
  </si>
  <si>
    <t xml:space="preserve"> Döï phoøng phaûi thu khoù ñoøi</t>
  </si>
  <si>
    <t>Trong ñoù:</t>
  </si>
  <si>
    <t xml:space="preserve"> Tieàn thueâ ñaát</t>
  </si>
  <si>
    <t xml:space="preserve"> Quyõ ñaàu tö phaùt trieån </t>
  </si>
  <si>
    <t xml:space="preserve"> 3. Thueá TNDN</t>
  </si>
  <si>
    <t xml:space="preserve"> Thueá moân baøi</t>
  </si>
  <si>
    <t xml:space="preserve">   -Chi phí chaïy thöû coù taûi, saûn xuaát thöû phaùt sinh lôùn;</t>
  </si>
  <si>
    <t xml:space="preserve">   -Coâng cuï duïng cuï xuaát duøng coù giaù trò lôùn;</t>
  </si>
  <si>
    <t xml:space="preserve">   -Loã cheânh leäch tyû giaù cuûa giai ñoaïn ñaàu tö xaây döïng cô baûn;</t>
  </si>
  <si>
    <t xml:space="preserve">    -Phaàn lôùn ruûi ro vaø lôïi ích gaén lieàn vôùi quyeàn sôû höõu saûn phaåm hoaëc haøng hoùa ñaõ ñöôïc chuyeån giao cho ngöôøi mua;</t>
  </si>
  <si>
    <t xml:space="preserve">    -Coâng ty khoâng coøn naém giöõ quyeàn quaûn lyù haøng hoùa hoaëc quyeàn kieåm soaùt haøng hoùa;</t>
  </si>
  <si>
    <t xml:space="preserve">    -Doanh thu ñöôïc xaùc ñònh töông ñoái chaéc chaén;</t>
  </si>
  <si>
    <t xml:space="preserve">    -Coâng ty ñaõ thu ñöôïc hoaëc seõ thu ñöôïc lôïi ích kinh teá töø giao dòch baùn haøng;</t>
  </si>
  <si>
    <t xml:space="preserve">    -Xaùc ñònh ñöôïc chi phí lieân quan ñeán giao dòch baùn haøng.</t>
  </si>
  <si>
    <t xml:space="preserve">   -Doanh thu ñöôïc xaùc ñònh töông ñoái chaéc chaén;</t>
  </si>
  <si>
    <t xml:space="preserve">   -Coù khaû naêng thu ñöôïc lôïi ích kinh teá töø giao dòch cung caáp dòch vuï ñoù;</t>
  </si>
  <si>
    <t xml:space="preserve">   -Xaùc ñònh ñöôïc phaàn coâng vieäc ñaõ hoaøn thaønh vaøo ngaøy laäp Baûng caân ñoái keá toaùn;</t>
  </si>
  <si>
    <t xml:space="preserve">   -Xaùc ñònh ñöôïc chi phí phaùt sinh cho giao dòch vaø chi phí ñeå hoaøn thaønh giao dòch cung caáp dòch vuï ñoù.</t>
  </si>
  <si>
    <t xml:space="preserve"> TGNH Coâng thöông CN khu CN Traûng Baøng</t>
  </si>
  <si>
    <t xml:space="preserve"> Chi phí SXKD dôû dang (NM SXTP)</t>
  </si>
  <si>
    <t>Phaàn coâng vieäc cung caáp dòch vuï ñaõ hoaøn thaønh ñöôïc xaùc ñònh theo phöông phaùp ñaùnh giaù coâng vieäc hoaøn thaønh.</t>
  </si>
  <si>
    <t xml:space="preserve">   -Coù khaû naêng thu ñöôïc lôïi ích kinh teá töø giao dòch ñoù;</t>
  </si>
  <si>
    <t xml:space="preserve">   -Doanh thu ñöôïc xaùc ñònh töông ñoái chaéc chaén.</t>
  </si>
  <si>
    <t>Coå töùc, lôïi nhuaän ñöôïc chia ñöôïc ghi nhaän khi Coâng ty ñöôïc quyeàn nhaän coå töùc hoaëc ñöôïc quyeàn nhaän lôïi nhuaän töø vieäc goùp voán.</t>
  </si>
  <si>
    <t>ñöôïc ñaàu tö hoaëc caûi taïo naâng caáp ñoù.</t>
  </si>
  <si>
    <t>ÑVT</t>
  </si>
  <si>
    <t>NAÊM NAY</t>
  </si>
  <si>
    <t>NAÊM TRÖÔÙC</t>
  </si>
  <si>
    <t>MUÛ COÂNG TY</t>
  </si>
  <si>
    <t>MUÛ THU MUA</t>
  </si>
  <si>
    <t>MUÛ GIA COÂNG</t>
  </si>
  <si>
    <t>XK tröïc tieáp</t>
  </si>
  <si>
    <t>CAÂY GIOÁNG</t>
  </si>
  <si>
    <t>VAÄN CHUYEÅN</t>
  </si>
  <si>
    <t>VAÄT TÖ</t>
  </si>
  <si>
    <t>TOÅNG COÄNG (A+B+C)</t>
  </si>
  <si>
    <t xml:space="preserve"> BHXH 20%</t>
  </si>
  <si>
    <t xml:space="preserve"> TP Muû latex Cty </t>
  </si>
  <si>
    <t xml:space="preserve"> KPCÑ 2%</t>
  </si>
  <si>
    <t>04</t>
  </si>
  <si>
    <t>Löu chuyeån tieàn thuaàn töø hoaït ñoäng ñaàu tö</t>
  </si>
  <si>
    <t>III-LÖU CHUYEÅN TIEÀN TÖØ HOAÏT ÑOÄNG TAØI CHÍNH</t>
  </si>
  <si>
    <t xml:space="preserve"> -Taøi saûn thueá thu nhaäp hoaõn laïi lieân quan ñeán khoaûn loã tính thueá chöa söû duïng</t>
  </si>
  <si>
    <t xml:space="preserve"> TGNH No&amp;PTNT Goø Daàu</t>
  </si>
  <si>
    <t xml:space="preserve"> TGNH No&amp;PTNT Goø Daàu (phaùt haønh CP)</t>
  </si>
  <si>
    <t xml:space="preserve"> TGNH Phoøng giao dòch Goø Daàu</t>
  </si>
  <si>
    <t xml:space="preserve"> TGNH ÑT&amp;PT  Taây Ninh</t>
  </si>
  <si>
    <t xml:space="preserve"> TG CN NH No&amp;PTNT SaøiGoøn</t>
  </si>
  <si>
    <t xml:space="preserve"> TG CN NH No&amp;PTNT SaøiGoøn (coù kyø haïn)</t>
  </si>
  <si>
    <t xml:space="preserve"> TG CN NH No&amp;PTNT SaøiGoøn (USD)</t>
  </si>
  <si>
    <t xml:space="preserve"> Ngoaïi teä (QTM)</t>
  </si>
  <si>
    <t>VI-Thoâng tin boå sung cho caùc khoaûn muïc trình baøy trong Baùo caùo keát quaû hoaït ñoäng kinh doanh:</t>
  </si>
  <si>
    <t>Löu chuyeån tieàn thuaàn trong kyø (50=20+30+40)</t>
  </si>
  <si>
    <t>Tieàn vaø töông ñöông tieàn cuoái kyø (70=50+60+61)</t>
  </si>
  <si>
    <t xml:space="preserve"> -Nguyeân taéc vaø phöông phaùp chuyeån ñoåi caùc ñoàng tieàn khaùc ra ñoàng tieàn söû duïng trong keá toaùn: Caùc nghieäp vuï kinh teá phaùt sinh baèng ngoaïi teä </t>
  </si>
  <si>
    <t xml:space="preserve"> -Nguyeân taéc xaùc ñònh caùc khoaûn töông ñöông tieàn: Laø caùc khoaûn ñaàu tö ngaén haïn khoâng quaù 3 thaùng coù khaû naêng chuyeån ñoåi deã daøng thaønh </t>
  </si>
  <si>
    <t xml:space="preserve"> -Nguyeân taéc ghi nhaän baát ñoäng saûn ñaàu tö;</t>
  </si>
  <si>
    <t xml:space="preserve"> -Phaûi thu veà laõi tieàn göûi, tieàn cho vay</t>
  </si>
  <si>
    <t xml:space="preserve"> -Phaûi thu veà laõi mua coâng traùi, traùi phieáu</t>
  </si>
  <si>
    <t xml:space="preserve"> -Phaûi thu veà cho vay töø QPL</t>
  </si>
  <si>
    <t xml:space="preserve"> -Phaûi thu veà tieàn vay mua coå phieáu cuûa coâng nhaân</t>
  </si>
  <si>
    <t xml:space="preserve"> -Phaûi thu veà thueá TNCN cuûa coâng nhaân</t>
  </si>
  <si>
    <t xml:space="preserve">    +NM SX thuøng phuy</t>
  </si>
  <si>
    <t xml:space="preserve">    +Ñöôøng soûi ñoû NTBC</t>
  </si>
  <si>
    <t xml:space="preserve">    +Ñöôøng soûi ñoû NTGD</t>
  </si>
  <si>
    <t xml:space="preserve"> -Phaûi traû veà coå töùc</t>
  </si>
  <si>
    <t>Quyõ ñaàu tö</t>
  </si>
  <si>
    <t>phaùt trieån</t>
  </si>
  <si>
    <t>Quyõ döï phoøng</t>
  </si>
  <si>
    <t>taøi chính</t>
  </si>
  <si>
    <t>Lôïi nhuaän</t>
  </si>
  <si>
    <t>sau thueá</t>
  </si>
  <si>
    <t xml:space="preserve"> -Doanh thu thuaàn baùn haøng hoùa</t>
  </si>
  <si>
    <t xml:space="preserve"> -Doanh thu thuaàn baùn saûn phaåm</t>
  </si>
  <si>
    <t xml:space="preserve"> -Doanh thu thuaàn dòch vuï</t>
  </si>
  <si>
    <t xml:space="preserve"> -Doanh thu thuaàn hôïp ñoàng xaây döïng</t>
  </si>
  <si>
    <t xml:space="preserve"> -Giaù voán cuûa coâng trình xaây döïng</t>
  </si>
  <si>
    <t xml:space="preserve">              + Thueá TNDN ñöôïc mieãn</t>
  </si>
  <si>
    <t xml:space="preserve">              + Lôïi nhuaän coøn laïi</t>
  </si>
  <si>
    <t xml:space="preserve"> -Laõi ñaàu tö kyø phieáu, tín phieáu</t>
  </si>
  <si>
    <t xml:space="preserve"> -Laõi ñaàu tö coâng traùi, traùi phieáu</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</si>
</sst>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000"/>
    <numFmt numFmtId="171" formatCode="0.000"/>
    <numFmt numFmtId="172" formatCode="0.00000000"/>
    <numFmt numFmtId="173" formatCode="0.0000000"/>
    <numFmt numFmtId="174" formatCode="0.000000"/>
    <numFmt numFmtId="175" formatCode="0.00000"/>
    <numFmt numFmtId="176" formatCode="0.0000"/>
    <numFmt numFmtId="177" formatCode="#,##0.0"/>
    <numFmt numFmtId="178" formatCode="0.0000E+00"/>
    <numFmt numFmtId="179" formatCode="0.000E+00"/>
    <numFmt numFmtId="180" formatCode="0.0E+00"/>
    <numFmt numFmtId="181" formatCode="0E+00"/>
    <numFmt numFmtId="182" formatCode="0.0"/>
    <numFmt numFmtId="183" formatCode="0.0000000000"/>
    <numFmt numFmtId="184" formatCode="0.00000000000"/>
    <numFmt numFmtId="185" formatCode="0.00000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mm/dd/yy"/>
    <numFmt numFmtId="194" formatCode="0.00_);[Red]\(0.00\)"/>
    <numFmt numFmtId="195" formatCode="0_);\(0\)"/>
  </numFmts>
  <fonts count="52">
    <font>
      <sz val="12"/>
      <name val="VNI-Times"/>
      <family val="0"/>
    </font>
    <font>
      <b/>
      <sz val="12"/>
      <name val="VNI-Times"/>
      <family val="0"/>
    </font>
    <font>
      <i/>
      <sz val="12"/>
      <name val="VNI-Times"/>
      <family val="0"/>
    </font>
    <font>
      <b/>
      <i/>
      <sz val="12"/>
      <name val="VNI-Times"/>
      <family val="0"/>
    </font>
    <font>
      <b/>
      <sz val="12"/>
      <name val="VNI-Univer"/>
      <family val="0"/>
    </font>
    <font>
      <b/>
      <sz val="14"/>
      <name val="VNI-Times"/>
      <family val="0"/>
    </font>
    <font>
      <b/>
      <sz val="13"/>
      <name val="VNI-Times"/>
      <family val="0"/>
    </font>
    <font>
      <b/>
      <sz val="12"/>
      <color indexed="12"/>
      <name val="VNI-Times"/>
      <family val="0"/>
    </font>
    <font>
      <sz val="12"/>
      <color indexed="12"/>
      <name val="VNI-Times"/>
      <family val="0"/>
    </font>
    <font>
      <i/>
      <sz val="12"/>
      <color indexed="12"/>
      <name val="VNI-Times"/>
      <family val="0"/>
    </font>
    <font>
      <b/>
      <i/>
      <sz val="12"/>
      <color indexed="12"/>
      <name val="VNI-Times"/>
      <family val="0"/>
    </font>
    <font>
      <sz val="18"/>
      <name val="VNI-Avo"/>
      <family val="0"/>
    </font>
    <font>
      <sz val="12"/>
      <color indexed="14"/>
      <name val="VNI-Times"/>
      <family val="0"/>
    </font>
    <font>
      <sz val="8"/>
      <name val="Tahoma"/>
      <family val="0"/>
    </font>
    <font>
      <b/>
      <sz val="8"/>
      <name val="Tahoma"/>
      <family val="0"/>
    </font>
    <font>
      <sz val="14"/>
      <name val="VNI-Avo"/>
      <family val="0"/>
    </font>
    <font>
      <sz val="16"/>
      <name val="VNI-Avo"/>
      <family val="0"/>
    </font>
    <font>
      <sz val="12"/>
      <color indexed="10"/>
      <name val="VNI-Times"/>
      <family val="0"/>
    </font>
    <font>
      <i/>
      <sz val="12"/>
      <color indexed="10"/>
      <name val="VNI-Times"/>
      <family val="0"/>
    </font>
    <font>
      <sz val="22"/>
      <color indexed="12"/>
      <name val="VNI-Avo"/>
      <family val="0"/>
    </font>
    <font>
      <sz val="14"/>
      <color indexed="12"/>
      <name val="VNI-Avo"/>
      <family val="0"/>
    </font>
    <font>
      <sz val="12"/>
      <name val="VNI-Helve"/>
      <family val="0"/>
    </font>
    <font>
      <sz val="11"/>
      <name val="VNI-Times"/>
      <family val="0"/>
    </font>
    <font>
      <b/>
      <sz val="14"/>
      <color indexed="12"/>
      <name val="VNI-Times"/>
      <family val="0"/>
    </font>
    <font>
      <sz val="13"/>
      <color indexed="12"/>
      <name val="VNI-Times"/>
      <family val="0"/>
    </font>
    <font>
      <sz val="12"/>
      <name val="Tahoma"/>
      <family val="2"/>
    </font>
    <font>
      <sz val="12"/>
      <color indexed="12"/>
      <name val="VNI-Helve"/>
      <family val="0"/>
    </font>
    <font>
      <sz val="18"/>
      <color indexed="12"/>
      <name val="VNI-Avo"/>
      <family val="0"/>
    </font>
    <font>
      <sz val="12"/>
      <color indexed="20"/>
      <name val="VNI-Times"/>
      <family val="0"/>
    </font>
    <font>
      <b/>
      <sz val="11"/>
      <color indexed="12"/>
      <name val="VNI-Times"/>
      <family val="0"/>
    </font>
    <font>
      <i/>
      <sz val="9"/>
      <name val="VNI-Times"/>
      <family val="0"/>
    </font>
    <font>
      <i/>
      <sz val="14"/>
      <color indexed="12"/>
      <name val="VNI-Times"/>
      <family val="0"/>
    </font>
    <font>
      <i/>
      <sz val="14"/>
      <name val="VNI-Times"/>
      <family val="0"/>
    </font>
    <font>
      <i/>
      <sz val="12"/>
      <name val="VNI-Avo"/>
      <family val="0"/>
    </font>
    <font>
      <sz val="12"/>
      <color indexed="12"/>
      <name val="VNI-Avo"/>
      <family val="0"/>
    </font>
    <font>
      <b/>
      <sz val="12"/>
      <color indexed="10"/>
      <name val="VNI-Times"/>
      <family val="0"/>
    </font>
    <font>
      <sz val="10"/>
      <name val="Tahoma"/>
      <family val="2"/>
    </font>
    <font>
      <sz val="11"/>
      <name val="Tahoma"/>
      <family val="2"/>
    </font>
    <font>
      <b/>
      <i/>
      <sz val="13"/>
      <name val="VNI-Times"/>
      <family val="0"/>
    </font>
    <font>
      <i/>
      <sz val="10"/>
      <name val="VNI-Times"/>
      <family val="0"/>
    </font>
    <font>
      <i/>
      <sz val="12"/>
      <color indexed="20"/>
      <name val="VNI-Times"/>
      <family val="0"/>
    </font>
    <font>
      <i/>
      <sz val="14"/>
      <color indexed="14"/>
      <name val="VNI-Times"/>
      <family val="0"/>
    </font>
    <font>
      <sz val="10"/>
      <name val="VNI-TIMES"/>
      <family val="0"/>
    </font>
    <font>
      <sz val="15"/>
      <name val="Tahoma"/>
      <family val="2"/>
    </font>
    <font>
      <b/>
      <sz val="20"/>
      <color indexed="12"/>
      <name val="VNI-Times"/>
      <family val="0"/>
    </font>
    <font>
      <sz val="18"/>
      <color indexed="12"/>
      <name val="VNI-Times"/>
      <family val="0"/>
    </font>
    <font>
      <b/>
      <sz val="10"/>
      <color indexed="12"/>
      <name val="VNI-Times"/>
      <family val="0"/>
    </font>
    <font>
      <b/>
      <sz val="12"/>
      <color indexed="12"/>
      <name val="VNI-Helve"/>
      <family val="0"/>
    </font>
    <font>
      <b/>
      <sz val="14"/>
      <color indexed="12"/>
      <name val="VNI-Garam"/>
      <family val="0"/>
    </font>
    <font>
      <b/>
      <sz val="12"/>
      <color indexed="20"/>
      <name val="VNI-Times"/>
      <family val="0"/>
    </font>
    <font>
      <b/>
      <i/>
      <sz val="12"/>
      <color indexed="14"/>
      <name val="VNI-Times"/>
      <family val="0"/>
    </font>
    <font>
      <b/>
      <sz val="8"/>
      <name val="VNI-Times"/>
      <family val="2"/>
    </font>
  </fonts>
  <fills count="2">
    <fill>
      <patternFill/>
    </fill>
    <fill>
      <patternFill patternType="gray125"/>
    </fill>
  </fills>
  <borders count="32">
    <border>
      <left/>
      <right/>
      <top/>
      <bottom/>
      <diagonal/>
    </border>
    <border>
      <left style="thin"/>
      <right style="thin"/>
      <top style="thin"/>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2">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3" fontId="1" fillId="0" borderId="3" xfId="0" applyNumberFormat="1" applyFont="1" applyBorder="1" applyAlignment="1">
      <alignment/>
    </xf>
    <xf numFmtId="3" fontId="1" fillId="0" borderId="2" xfId="0" applyNumberFormat="1" applyFont="1" applyBorder="1" applyAlignment="1">
      <alignment/>
    </xf>
    <xf numFmtId="0" fontId="1" fillId="0" borderId="0" xfId="0" applyFont="1" applyAlignment="1">
      <alignment/>
    </xf>
    <xf numFmtId="0" fontId="3" fillId="0" borderId="0" xfId="0" applyFont="1" applyAlignment="1">
      <alignment/>
    </xf>
    <xf numFmtId="3" fontId="0" fillId="0" borderId="2" xfId="0" applyNumberFormat="1" applyFont="1" applyBorder="1" applyAlignment="1">
      <alignment/>
    </xf>
    <xf numFmtId="3" fontId="2" fillId="0" borderId="2" xfId="0" applyNumberFormat="1" applyFont="1" applyBorder="1" applyAlignment="1">
      <alignment/>
    </xf>
    <xf numFmtId="3" fontId="3" fillId="0" borderId="2" xfId="0" applyNumberFormat="1" applyFont="1" applyBorder="1" applyAlignment="1">
      <alignment/>
    </xf>
    <xf numFmtId="0" fontId="0" fillId="0" borderId="0" xfId="0" applyFont="1" applyAlignment="1">
      <alignment/>
    </xf>
    <xf numFmtId="0" fontId="0" fillId="0" borderId="0" xfId="0" applyFont="1" applyAlignment="1">
      <alignment/>
    </xf>
    <xf numFmtId="0" fontId="1" fillId="0" borderId="3" xfId="0" applyFont="1" applyBorder="1" applyAlignment="1">
      <alignment horizontal="center"/>
    </xf>
    <xf numFmtId="0" fontId="1" fillId="0" borderId="2" xfId="0" applyFont="1" applyBorder="1" applyAlignment="1">
      <alignment horizontal="center"/>
    </xf>
    <xf numFmtId="0" fontId="0" fillId="0" borderId="2" xfId="0" applyFont="1" applyBorder="1" applyAlignment="1">
      <alignment/>
    </xf>
    <xf numFmtId="0" fontId="0" fillId="0" borderId="4" xfId="0" applyFont="1" applyBorder="1" applyAlignment="1">
      <alignment/>
    </xf>
    <xf numFmtId="3" fontId="0" fillId="0" borderId="4" xfId="0" applyNumberFormat="1" applyFont="1" applyBorder="1" applyAlignment="1">
      <alignment/>
    </xf>
    <xf numFmtId="3" fontId="0" fillId="0" borderId="0" xfId="0" applyNumberFormat="1" applyFont="1" applyAlignment="1">
      <alignment/>
    </xf>
    <xf numFmtId="3" fontId="0" fillId="0" borderId="5" xfId="0" applyNumberFormat="1" applyFont="1" applyBorder="1" applyAlignment="1">
      <alignment/>
    </xf>
    <xf numFmtId="0" fontId="0" fillId="0" borderId="5" xfId="0" applyFont="1" applyBorder="1" applyAlignment="1">
      <alignment/>
    </xf>
    <xf numFmtId="0" fontId="0" fillId="0" borderId="0" xfId="0" applyFont="1" applyAlignment="1">
      <alignment/>
    </xf>
    <xf numFmtId="0" fontId="0" fillId="0" borderId="0" xfId="0" applyFont="1" applyBorder="1" applyAlignment="1">
      <alignment/>
    </xf>
    <xf numFmtId="3" fontId="0" fillId="0" borderId="3" xfId="0" applyNumberFormat="1" applyFont="1" applyBorder="1" applyAlignment="1">
      <alignment/>
    </xf>
    <xf numFmtId="3" fontId="0" fillId="0" borderId="0" xfId="0" applyNumberFormat="1" applyFont="1" applyBorder="1" applyAlignment="1">
      <alignment/>
    </xf>
    <xf numFmtId="0" fontId="0" fillId="0" borderId="3" xfId="0" applyFont="1" applyBorder="1" applyAlignment="1">
      <alignment/>
    </xf>
    <xf numFmtId="0" fontId="0" fillId="0" borderId="2" xfId="0" applyFont="1" applyBorder="1" applyAlignment="1">
      <alignment horizontal="center"/>
    </xf>
    <xf numFmtId="0" fontId="1" fillId="0" borderId="5" xfId="0" applyFont="1" applyBorder="1" applyAlignment="1">
      <alignment/>
    </xf>
    <xf numFmtId="3" fontId="1" fillId="0" borderId="5" xfId="0" applyNumberFormat="1" applyFont="1" applyBorder="1" applyAlignment="1">
      <alignment/>
    </xf>
    <xf numFmtId="0" fontId="0" fillId="0" borderId="6" xfId="0" applyFont="1" applyBorder="1" applyAlignment="1">
      <alignment/>
    </xf>
    <xf numFmtId="0" fontId="1" fillId="0" borderId="1" xfId="0" applyFont="1" applyBorder="1" applyAlignment="1">
      <alignment horizontal="center" vertical="center"/>
    </xf>
    <xf numFmtId="0" fontId="0" fillId="0" borderId="0" xfId="0" applyFont="1" applyBorder="1" applyAlignment="1">
      <alignment/>
    </xf>
    <xf numFmtId="0" fontId="1" fillId="0" borderId="7" xfId="0" applyFont="1" applyBorder="1" applyAlignment="1">
      <alignment horizontal="centerContinuous"/>
    </xf>
    <xf numFmtId="0" fontId="0" fillId="0" borderId="8" xfId="0" applyFont="1" applyBorder="1" applyAlignment="1">
      <alignment horizontal="centerContinuous"/>
    </xf>
    <xf numFmtId="0" fontId="0" fillId="0" borderId="9" xfId="0" applyFont="1" applyBorder="1" applyAlignment="1">
      <alignment horizontal="centerContinuous"/>
    </xf>
    <xf numFmtId="0" fontId="1" fillId="0" borderId="8" xfId="0" applyFont="1" applyBorder="1" applyAlignment="1">
      <alignment horizontal="centerContinuous"/>
    </xf>
    <xf numFmtId="0" fontId="1" fillId="0" borderId="9" xfId="0" applyFont="1" applyBorder="1" applyAlignment="1">
      <alignment horizontal="centerContinuous"/>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5" xfId="0" applyFont="1" applyBorder="1" applyAlignment="1">
      <alignment horizontal="center"/>
    </xf>
    <xf numFmtId="0" fontId="1" fillId="0" borderId="12" xfId="0" applyFont="1" applyBorder="1" applyAlignment="1">
      <alignment/>
    </xf>
    <xf numFmtId="0" fontId="0" fillId="0" borderId="5" xfId="0" applyFont="1" applyBorder="1" applyAlignment="1">
      <alignment horizontal="center"/>
    </xf>
    <xf numFmtId="3" fontId="0" fillId="0" borderId="12" xfId="0" applyNumberFormat="1" applyFont="1" applyBorder="1" applyAlignment="1">
      <alignment/>
    </xf>
    <xf numFmtId="3" fontId="1" fillId="0" borderId="12" xfId="0" applyNumberFormat="1" applyFont="1" applyBorder="1" applyAlignment="1">
      <alignment/>
    </xf>
    <xf numFmtId="0" fontId="1" fillId="0" borderId="0" xfId="0" applyFont="1" applyBorder="1" applyAlignment="1">
      <alignment/>
    </xf>
    <xf numFmtId="3" fontId="1" fillId="0" borderId="6" xfId="0" applyNumberFormat="1" applyFont="1" applyBorder="1" applyAlignment="1">
      <alignment/>
    </xf>
    <xf numFmtId="0" fontId="0" fillId="0" borderId="13" xfId="0" applyFont="1" applyBorder="1" applyAlignment="1">
      <alignment/>
    </xf>
    <xf numFmtId="0" fontId="1" fillId="0" borderId="4" xfId="0" applyFont="1" applyBorder="1" applyAlignment="1">
      <alignment horizontal="right"/>
    </xf>
    <xf numFmtId="3" fontId="1" fillId="0" borderId="13" xfId="0" applyNumberFormat="1"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0" fontId="5" fillId="0" borderId="1"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centerContinuous"/>
    </xf>
    <xf numFmtId="0" fontId="1" fillId="0" borderId="1" xfId="0" applyFont="1" applyBorder="1" applyAlignment="1">
      <alignment horizontal="centerContinuous"/>
    </xf>
    <xf numFmtId="0" fontId="1" fillId="0" borderId="3" xfId="0" applyFont="1" applyBorder="1" applyAlignment="1">
      <alignment/>
    </xf>
    <xf numFmtId="0" fontId="1" fillId="0" borderId="4" xfId="0" applyFont="1" applyBorder="1" applyAlignment="1">
      <alignment horizontal="center"/>
    </xf>
    <xf numFmtId="3" fontId="1" fillId="0" borderId="4" xfId="0" applyNumberFormat="1" applyFont="1" applyBorder="1" applyAlignment="1">
      <alignment/>
    </xf>
    <xf numFmtId="0" fontId="1" fillId="0" borderId="0" xfId="0" applyFont="1" applyBorder="1" applyAlignment="1">
      <alignment horizontal="right"/>
    </xf>
    <xf numFmtId="3" fontId="1" fillId="0" borderId="0" xfId="0" applyNumberFormat="1" applyFont="1" applyBorder="1" applyAlignment="1">
      <alignment/>
    </xf>
    <xf numFmtId="0" fontId="0" fillId="0" borderId="4"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2" xfId="0" applyFont="1" applyBorder="1" applyAlignment="1" quotePrefix="1">
      <alignment horizontal="center"/>
    </xf>
    <xf numFmtId="0" fontId="0" fillId="0" borderId="0" xfId="0" applyFont="1" applyAlignment="1">
      <alignment/>
    </xf>
    <xf numFmtId="37" fontId="0" fillId="0" borderId="2" xfId="0" applyNumberFormat="1" applyFont="1" applyBorder="1" applyAlignment="1">
      <alignment/>
    </xf>
    <xf numFmtId="0" fontId="1" fillId="0" borderId="14" xfId="0" applyFont="1" applyBorder="1" applyAlignment="1">
      <alignment vertical="center"/>
    </xf>
    <xf numFmtId="3" fontId="8" fillId="0" borderId="2" xfId="0" applyNumberFormat="1" applyFont="1" applyBorder="1" applyAlignment="1">
      <alignment/>
    </xf>
    <xf numFmtId="3" fontId="7" fillId="0" borderId="2" xfId="0" applyNumberFormat="1" applyFont="1" applyBorder="1" applyAlignment="1">
      <alignment/>
    </xf>
    <xf numFmtId="3" fontId="9" fillId="0" borderId="2" xfId="0" applyNumberFormat="1" applyFont="1" applyBorder="1" applyAlignment="1">
      <alignment/>
    </xf>
    <xf numFmtId="3" fontId="8" fillId="0" borderId="5" xfId="0" applyNumberFormat="1"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0" xfId="0" applyFont="1" applyAlignment="1">
      <alignment/>
    </xf>
    <xf numFmtId="3" fontId="8" fillId="0" borderId="0" xfId="0" applyNumberFormat="1" applyFont="1" applyAlignment="1">
      <alignment/>
    </xf>
    <xf numFmtId="170" fontId="8" fillId="0" borderId="2" xfId="0" applyNumberFormat="1" applyFont="1" applyBorder="1" applyAlignment="1">
      <alignment/>
    </xf>
    <xf numFmtId="0" fontId="9" fillId="0" borderId="2" xfId="0" applyFont="1" applyBorder="1" applyAlignment="1">
      <alignment/>
    </xf>
    <xf numFmtId="0" fontId="8" fillId="0" borderId="4" xfId="0" applyFont="1" applyBorder="1" applyAlignment="1">
      <alignment/>
    </xf>
    <xf numFmtId="0" fontId="8" fillId="0" borderId="2" xfId="0" applyFont="1" applyBorder="1" applyAlignment="1">
      <alignment horizontal="center"/>
    </xf>
    <xf numFmtId="3" fontId="1" fillId="0" borderId="0" xfId="0" applyNumberFormat="1" applyFont="1" applyAlignment="1">
      <alignment/>
    </xf>
    <xf numFmtId="0" fontId="3" fillId="0" borderId="2" xfId="0" applyFont="1" applyBorder="1" applyAlignment="1">
      <alignment horizontal="center"/>
    </xf>
    <xf numFmtId="0" fontId="3" fillId="0" borderId="0" xfId="0" applyFont="1" applyBorder="1" applyAlignment="1">
      <alignment/>
    </xf>
    <xf numFmtId="0" fontId="0" fillId="0" borderId="4" xfId="0" applyFont="1" applyBorder="1" applyAlignment="1">
      <alignment horizontal="center"/>
    </xf>
    <xf numFmtId="0" fontId="2" fillId="0" borderId="0" xfId="0" applyFont="1" applyAlignment="1">
      <alignment/>
    </xf>
    <xf numFmtId="0" fontId="0" fillId="0" borderId="0" xfId="0" applyFont="1" applyBorder="1" applyAlignment="1">
      <alignment horizontal="center"/>
    </xf>
    <xf numFmtId="38" fontId="0" fillId="0" borderId="2" xfId="0" applyNumberFormat="1" applyFont="1" applyBorder="1" applyAlignment="1">
      <alignment/>
    </xf>
    <xf numFmtId="0" fontId="2" fillId="0" borderId="0" xfId="0" applyFont="1" applyBorder="1" applyAlignment="1">
      <alignment/>
    </xf>
    <xf numFmtId="0" fontId="0" fillId="0" borderId="0" xfId="0"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37" fontId="17" fillId="0" borderId="2" xfId="0" applyNumberFormat="1" applyFont="1" applyBorder="1" applyAlignment="1">
      <alignment/>
    </xf>
    <xf numFmtId="3" fontId="1" fillId="0" borderId="0" xfId="0" applyNumberFormat="1" applyFont="1" applyAlignment="1">
      <alignment horizontal="center"/>
    </xf>
    <xf numFmtId="0" fontId="9" fillId="0" borderId="2" xfId="0" applyFont="1" applyBorder="1" applyAlignment="1">
      <alignment horizontal="center"/>
    </xf>
    <xf numFmtId="3" fontId="3" fillId="0" borderId="0" xfId="0" applyNumberFormat="1" applyFont="1" applyAlignment="1">
      <alignment horizontal="center"/>
    </xf>
    <xf numFmtId="0" fontId="9" fillId="0" borderId="0" xfId="0" applyFont="1" applyBorder="1" applyAlignment="1">
      <alignment horizontal="center"/>
    </xf>
    <xf numFmtId="0" fontId="9" fillId="0" borderId="0" xfId="0" applyFont="1" applyBorder="1" applyAlignment="1">
      <alignment/>
    </xf>
    <xf numFmtId="0" fontId="18" fillId="0" borderId="2" xfId="0" applyFont="1" applyBorder="1" applyAlignment="1">
      <alignment/>
    </xf>
    <xf numFmtId="0" fontId="18" fillId="0" borderId="2"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xf>
    <xf numFmtId="38" fontId="18" fillId="0" borderId="2" xfId="0" applyNumberFormat="1" applyFont="1" applyBorder="1" applyAlignment="1">
      <alignment/>
    </xf>
    <xf numFmtId="0" fontId="19" fillId="0" borderId="0" xfId="0" applyFont="1" applyBorder="1" applyAlignment="1">
      <alignment horizontal="centerContinuous"/>
    </xf>
    <xf numFmtId="0" fontId="20" fillId="0" borderId="0" xfId="0" applyFont="1" applyBorder="1" applyAlignment="1">
      <alignment horizontal="centerContinuous"/>
    </xf>
    <xf numFmtId="0" fontId="21" fillId="0" borderId="0" xfId="0" applyFont="1" applyBorder="1" applyAlignment="1">
      <alignment/>
    </xf>
    <xf numFmtId="0" fontId="0" fillId="0" borderId="0" xfId="0" applyFont="1" applyAlignment="1">
      <alignment/>
    </xf>
    <xf numFmtId="3" fontId="0" fillId="0" borderId="0" xfId="0" applyNumberFormat="1" applyFont="1" applyAlignment="1">
      <alignment/>
    </xf>
    <xf numFmtId="0" fontId="1" fillId="0" borderId="15" xfId="0" applyFont="1" applyBorder="1" applyAlignment="1">
      <alignment horizontal="center"/>
    </xf>
    <xf numFmtId="0" fontId="1" fillId="0" borderId="3" xfId="0" applyFont="1" applyBorder="1" applyAlignment="1" quotePrefix="1">
      <alignment horizontal="center"/>
    </xf>
    <xf numFmtId="0" fontId="1" fillId="0" borderId="2" xfId="0" applyFont="1" applyBorder="1" applyAlignment="1" quotePrefix="1">
      <alignment horizontal="center"/>
    </xf>
    <xf numFmtId="3" fontId="0" fillId="0" borderId="10" xfId="0" applyNumberFormat="1" applyFont="1" applyBorder="1" applyAlignment="1">
      <alignment/>
    </xf>
    <xf numFmtId="0" fontId="21"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4" fillId="0" borderId="16" xfId="0" applyFont="1" applyBorder="1" applyAlignment="1">
      <alignment horizontal="center"/>
    </xf>
    <xf numFmtId="0" fontId="0" fillId="0" borderId="14" xfId="0" applyFont="1" applyBorder="1" applyAlignment="1">
      <alignment/>
    </xf>
    <xf numFmtId="0" fontId="1" fillId="0" borderId="17" xfId="0" applyFont="1" applyBorder="1" applyAlignment="1">
      <alignment horizontal="centerContinuous"/>
    </xf>
    <xf numFmtId="0" fontId="0" fillId="0" borderId="18" xfId="0" applyFont="1" applyBorder="1" applyAlignment="1">
      <alignment horizontal="centerContinuous"/>
    </xf>
    <xf numFmtId="0" fontId="1" fillId="0" borderId="19" xfId="0" applyFont="1" applyBorder="1" applyAlignment="1">
      <alignment horizontal="centerContinuous"/>
    </xf>
    <xf numFmtId="0" fontId="0" fillId="0" borderId="20" xfId="0" applyFont="1" applyBorder="1" applyAlignment="1">
      <alignment horizontal="centerContinuous"/>
    </xf>
    <xf numFmtId="0" fontId="0" fillId="0" borderId="21" xfId="0" applyFont="1" applyBorder="1" applyAlignment="1">
      <alignment/>
    </xf>
    <xf numFmtId="0" fontId="1" fillId="0" borderId="22" xfId="0" applyFont="1" applyBorder="1" applyAlignment="1">
      <alignment horizontal="centerContinuous"/>
    </xf>
    <xf numFmtId="0" fontId="0" fillId="0" borderId="23" xfId="0" applyFont="1" applyBorder="1" applyAlignment="1">
      <alignment horizontal="centerContinuous"/>
    </xf>
    <xf numFmtId="0" fontId="0" fillId="0" borderId="13" xfId="0" applyFont="1" applyBorder="1" applyAlignment="1">
      <alignment/>
    </xf>
    <xf numFmtId="0" fontId="0" fillId="0" borderId="3" xfId="0" applyFont="1" applyBorder="1" applyAlignment="1">
      <alignment horizont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alignment horizontal="center"/>
    </xf>
    <xf numFmtId="0" fontId="23" fillId="0" borderId="14" xfId="0" applyFont="1" applyBorder="1" applyAlignment="1">
      <alignment horizontal="center" vertical="center"/>
    </xf>
    <xf numFmtId="0" fontId="23" fillId="0" borderId="1" xfId="0" applyFont="1" applyBorder="1" applyAlignment="1">
      <alignment horizontal="centerContinuous" vertical="center"/>
    </xf>
    <xf numFmtId="0" fontId="8" fillId="0" borderId="0" xfId="0" applyFont="1" applyBorder="1" applyAlignment="1">
      <alignment horizontal="center" vertical="center"/>
    </xf>
    <xf numFmtId="0" fontId="8" fillId="0" borderId="0" xfId="0" applyFont="1" applyBorder="1" applyAlignment="1">
      <alignment vertical="center"/>
    </xf>
    <xf numFmtId="4" fontId="8" fillId="0" borderId="2" xfId="0" applyNumberFormat="1" applyFont="1" applyBorder="1" applyAlignment="1">
      <alignment horizontal="right"/>
    </xf>
    <xf numFmtId="0" fontId="10" fillId="0" borderId="0" xfId="0" applyFont="1" applyBorder="1" applyAlignment="1">
      <alignment horizontal="left"/>
    </xf>
    <xf numFmtId="0" fontId="7" fillId="0" borderId="0" xfId="0" applyFont="1" applyBorder="1" applyAlignment="1">
      <alignment/>
    </xf>
    <xf numFmtId="0" fontId="24" fillId="0" borderId="0" xfId="0" applyFont="1" applyBorder="1" applyAlignment="1">
      <alignment/>
    </xf>
    <xf numFmtId="38" fontId="0" fillId="0" borderId="4"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7" fillId="0" borderId="3" xfId="0" applyFont="1" applyBorder="1" applyAlignment="1">
      <alignment/>
    </xf>
    <xf numFmtId="0" fontId="7" fillId="0" borderId="2" xfId="0" applyFont="1" applyBorder="1" applyAlignment="1">
      <alignment/>
    </xf>
    <xf numFmtId="0" fontId="1" fillId="0" borderId="4" xfId="0" applyFont="1" applyBorder="1" applyAlignment="1">
      <alignment/>
    </xf>
    <xf numFmtId="38" fontId="8" fillId="0" borderId="4" xfId="0" applyNumberFormat="1" applyFont="1" applyBorder="1" applyAlignment="1">
      <alignment/>
    </xf>
    <xf numFmtId="38" fontId="1" fillId="0" borderId="2" xfId="0" applyNumberFormat="1" applyFont="1" applyBorder="1" applyAlignment="1">
      <alignment/>
    </xf>
    <xf numFmtId="3" fontId="1" fillId="0" borderId="0" xfId="0" applyNumberFormat="1" applyFont="1" applyBorder="1" applyAlignment="1">
      <alignment horizontal="center"/>
    </xf>
    <xf numFmtId="3" fontId="0" fillId="0" borderId="24" xfId="0" applyNumberFormat="1" applyFont="1" applyBorder="1" applyAlignment="1">
      <alignment/>
    </xf>
    <xf numFmtId="0" fontId="9" fillId="0" borderId="5" xfId="0" applyFont="1" applyBorder="1" applyAlignment="1">
      <alignment/>
    </xf>
    <xf numFmtId="0" fontId="7" fillId="0" borderId="3" xfId="0" applyFont="1" applyBorder="1" applyAlignment="1">
      <alignment horizontal="center"/>
    </xf>
    <xf numFmtId="170" fontId="7" fillId="0" borderId="3" xfId="0" applyNumberFormat="1" applyFont="1" applyBorder="1" applyAlignment="1">
      <alignment/>
    </xf>
    <xf numFmtId="3" fontId="7" fillId="0" borderId="3" xfId="0" applyNumberFormat="1" applyFont="1" applyBorder="1" applyAlignment="1">
      <alignment/>
    </xf>
    <xf numFmtId="0" fontId="7" fillId="0" borderId="2" xfId="0" applyFont="1" applyBorder="1" applyAlignment="1">
      <alignment horizontal="center"/>
    </xf>
    <xf numFmtId="3" fontId="10" fillId="0" borderId="2" xfId="0" applyNumberFormat="1" applyFont="1" applyBorder="1" applyAlignment="1">
      <alignment/>
    </xf>
    <xf numFmtId="0" fontId="8" fillId="0" borderId="5" xfId="0" applyFont="1" applyBorder="1" applyAlignment="1">
      <alignment/>
    </xf>
    <xf numFmtId="3" fontId="7" fillId="0" borderId="5" xfId="0" applyNumberFormat="1" applyFont="1" applyBorder="1" applyAlignment="1">
      <alignment/>
    </xf>
    <xf numFmtId="0" fontId="8" fillId="0" borderId="12" xfId="0" applyFont="1" applyBorder="1" applyAlignment="1">
      <alignment/>
    </xf>
    <xf numFmtId="0" fontId="3" fillId="0" borderId="0" xfId="0" applyFont="1" applyAlignment="1">
      <alignment horizontal="center"/>
    </xf>
    <xf numFmtId="0" fontId="22" fillId="0" borderId="0" xfId="0" applyFont="1" applyAlignment="1">
      <alignment/>
    </xf>
    <xf numFmtId="4" fontId="0" fillId="0" borderId="0" xfId="0" applyNumberFormat="1" applyFont="1" applyAlignment="1">
      <alignment/>
    </xf>
    <xf numFmtId="3" fontId="0" fillId="0" borderId="14" xfId="0" applyNumberFormat="1" applyFont="1" applyBorder="1" applyAlignment="1">
      <alignment horizontal="center"/>
    </xf>
    <xf numFmtId="3" fontId="0" fillId="0" borderId="21" xfId="0" applyNumberFormat="1" applyFont="1" applyBorder="1" applyAlignment="1">
      <alignment horizontal="center"/>
    </xf>
    <xf numFmtId="3" fontId="22" fillId="0" borderId="21" xfId="0" applyNumberFormat="1" applyFont="1" applyBorder="1" applyAlignment="1">
      <alignment horizontal="center"/>
    </xf>
    <xf numFmtId="3" fontId="0" fillId="0" borderId="21" xfId="0" applyNumberFormat="1" applyFont="1" applyBorder="1" applyAlignment="1">
      <alignment horizontal="center"/>
    </xf>
    <xf numFmtId="0" fontId="2" fillId="0" borderId="15" xfId="0" applyFont="1" applyFill="1" applyBorder="1" applyAlignment="1">
      <alignment/>
    </xf>
    <xf numFmtId="0" fontId="2" fillId="0" borderId="0" xfId="0" applyFont="1" applyFill="1" applyBorder="1" applyAlignment="1">
      <alignment/>
    </xf>
    <xf numFmtId="3" fontId="0" fillId="0" borderId="15" xfId="0" applyNumberFormat="1" applyFont="1" applyBorder="1" applyAlignment="1">
      <alignment horizontal="center"/>
    </xf>
    <xf numFmtId="0" fontId="0" fillId="0" borderId="14" xfId="0" applyFont="1" applyBorder="1" applyAlignment="1">
      <alignment/>
    </xf>
    <xf numFmtId="3" fontId="8" fillId="0" borderId="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horizontal="center"/>
    </xf>
    <xf numFmtId="4" fontId="8" fillId="0" borderId="2" xfId="0" applyNumberFormat="1" applyFont="1" applyBorder="1" applyAlignment="1">
      <alignment/>
    </xf>
    <xf numFmtId="3" fontId="7" fillId="0" borderId="2" xfId="0" applyNumberFormat="1" applyFont="1" applyBorder="1" applyAlignment="1">
      <alignment/>
    </xf>
    <xf numFmtId="0" fontId="26" fillId="0" borderId="0" xfId="0" applyFont="1" applyBorder="1" applyAlignment="1">
      <alignment/>
    </xf>
    <xf numFmtId="0" fontId="7" fillId="0" borderId="0" xfId="0" applyFont="1" applyAlignment="1">
      <alignment/>
    </xf>
    <xf numFmtId="0" fontId="7" fillId="0" borderId="14"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28" fillId="0" borderId="2" xfId="0" applyFont="1" applyBorder="1" applyAlignment="1">
      <alignment/>
    </xf>
    <xf numFmtId="3" fontId="28" fillId="0" borderId="2" xfId="0" applyNumberFormat="1" applyFont="1" applyBorder="1" applyAlignment="1">
      <alignment/>
    </xf>
    <xf numFmtId="0" fontId="8" fillId="0" borderId="2" xfId="0" applyFont="1" applyBorder="1" applyAlignment="1">
      <alignment/>
    </xf>
    <xf numFmtId="2" fontId="8" fillId="0" borderId="2" xfId="0" applyNumberFormat="1" applyFont="1" applyBorder="1" applyAlignment="1">
      <alignment/>
    </xf>
    <xf numFmtId="3" fontId="8" fillId="0" borderId="4" xfId="0" applyNumberFormat="1" applyFont="1" applyBorder="1" applyAlignment="1">
      <alignment/>
    </xf>
    <xf numFmtId="0" fontId="26" fillId="0" borderId="0" xfId="0" applyFont="1" applyAlignment="1">
      <alignment/>
    </xf>
    <xf numFmtId="0" fontId="8" fillId="0" borderId="0" xfId="0" applyFont="1" applyAlignment="1">
      <alignment horizontal="centerContinuous"/>
    </xf>
    <xf numFmtId="0" fontId="7" fillId="0" borderId="15" xfId="0" applyFont="1" applyBorder="1" applyAlignment="1">
      <alignment horizontal="center"/>
    </xf>
    <xf numFmtId="0" fontId="9" fillId="0" borderId="0" xfId="0" applyFont="1" applyAlignment="1">
      <alignment/>
    </xf>
    <xf numFmtId="0" fontId="10" fillId="0" borderId="2" xfId="0" applyFont="1" applyBorder="1" applyAlignment="1">
      <alignment horizontal="center"/>
    </xf>
    <xf numFmtId="0" fontId="10" fillId="0" borderId="2" xfId="0" applyFont="1" applyBorder="1" applyAlignment="1">
      <alignment/>
    </xf>
    <xf numFmtId="170" fontId="9" fillId="0" borderId="2" xfId="0" applyNumberFormat="1" applyFont="1" applyBorder="1" applyAlignment="1">
      <alignment/>
    </xf>
    <xf numFmtId="3" fontId="8" fillId="0" borderId="0" xfId="0" applyNumberFormat="1" applyFont="1" applyAlignment="1">
      <alignment horizontal="right"/>
    </xf>
    <xf numFmtId="3" fontId="8" fillId="0" borderId="0" xfId="0" applyNumberFormat="1" applyFont="1" applyAlignment="1">
      <alignment horizontal="centerContinuous"/>
    </xf>
    <xf numFmtId="3" fontId="8" fillId="0" borderId="10" xfId="0" applyNumberFormat="1" applyFont="1" applyBorder="1" applyAlignment="1">
      <alignment/>
    </xf>
    <xf numFmtId="0" fontId="1" fillId="0" borderId="10" xfId="0" applyFont="1" applyBorder="1" applyAlignment="1">
      <alignment/>
    </xf>
    <xf numFmtId="3" fontId="0" fillId="0" borderId="25" xfId="0" applyNumberFormat="1" applyFont="1" applyBorder="1" applyAlignment="1">
      <alignment/>
    </xf>
    <xf numFmtId="3" fontId="7" fillId="0" borderId="11" xfId="0" applyNumberFormat="1" applyFont="1" applyBorder="1" applyAlignment="1">
      <alignment horizontal="center"/>
    </xf>
    <xf numFmtId="3" fontId="0" fillId="0" borderId="26" xfId="0" applyNumberFormat="1" applyFont="1" applyBorder="1" applyAlignment="1">
      <alignment/>
    </xf>
    <xf numFmtId="3" fontId="8" fillId="0" borderId="12" xfId="0" applyNumberFormat="1" applyFont="1" applyBorder="1" applyAlignment="1">
      <alignment/>
    </xf>
    <xf numFmtId="0" fontId="1" fillId="0" borderId="5" xfId="0" applyFont="1" applyBorder="1" applyAlignment="1">
      <alignment horizontal="right"/>
    </xf>
    <xf numFmtId="3" fontId="7" fillId="0" borderId="12" xfId="0" applyNumberFormat="1" applyFont="1" applyBorder="1" applyAlignment="1">
      <alignment/>
    </xf>
    <xf numFmtId="3" fontId="7" fillId="0" borderId="12" xfId="0" applyNumberFormat="1" applyFont="1" applyBorder="1" applyAlignment="1">
      <alignment horizontal="center"/>
    </xf>
    <xf numFmtId="0" fontId="0" fillId="0" borderId="5" xfId="0" applyFont="1" applyFill="1" applyBorder="1" applyAlignment="1">
      <alignment/>
    </xf>
    <xf numFmtId="0" fontId="1" fillId="0" borderId="6" xfId="0" applyFont="1" applyBorder="1" applyAlignment="1">
      <alignment horizontal="right"/>
    </xf>
    <xf numFmtId="3" fontId="0" fillId="0" borderId="27" xfId="0" applyNumberFormat="1" applyFont="1" applyBorder="1" applyAlignment="1">
      <alignment/>
    </xf>
    <xf numFmtId="3" fontId="7" fillId="0" borderId="13" xfId="0" applyNumberFormat="1" applyFont="1" applyBorder="1" applyAlignment="1">
      <alignment/>
    </xf>
    <xf numFmtId="3" fontId="7" fillId="0" borderId="3" xfId="0" applyNumberFormat="1" applyFont="1" applyBorder="1" applyAlignment="1">
      <alignment horizontal="center"/>
    </xf>
    <xf numFmtId="3" fontId="7" fillId="0" borderId="2" xfId="0" applyNumberFormat="1" applyFont="1" applyBorder="1" applyAlignment="1">
      <alignment horizontal="center"/>
    </xf>
    <xf numFmtId="3" fontId="7" fillId="0" borderId="4" xfId="0" applyNumberFormat="1" applyFont="1" applyBorder="1" applyAlignment="1">
      <alignment/>
    </xf>
    <xf numFmtId="3" fontId="2" fillId="0" borderId="26" xfId="0" applyNumberFormat="1" applyFont="1" applyBorder="1" applyAlignment="1">
      <alignment/>
    </xf>
    <xf numFmtId="3" fontId="9" fillId="0" borderId="26" xfId="0" applyNumberFormat="1" applyFont="1" applyBorder="1" applyAlignment="1">
      <alignment/>
    </xf>
    <xf numFmtId="3" fontId="9" fillId="0" borderId="12" xfId="0" applyNumberFormat="1" applyFont="1" applyBorder="1" applyAlignment="1">
      <alignment/>
    </xf>
    <xf numFmtId="0" fontId="1" fillId="0" borderId="5" xfId="0" applyFont="1" applyBorder="1" applyAlignment="1">
      <alignment/>
    </xf>
    <xf numFmtId="0" fontId="1" fillId="0" borderId="5" xfId="0" applyFont="1" applyFill="1" applyBorder="1" applyAlignment="1">
      <alignment horizontal="right"/>
    </xf>
    <xf numFmtId="0" fontId="2" fillId="0" borderId="5" xfId="0" applyFont="1" applyBorder="1" applyAlignment="1">
      <alignment/>
    </xf>
    <xf numFmtId="3" fontId="2" fillId="0" borderId="12" xfId="0" applyNumberFormat="1" applyFont="1" applyBorder="1" applyAlignment="1">
      <alignment/>
    </xf>
    <xf numFmtId="3" fontId="0" fillId="0" borderId="2" xfId="0" applyNumberFormat="1" applyFont="1" applyBorder="1" applyAlignment="1">
      <alignment horizontal="center"/>
    </xf>
    <xf numFmtId="0" fontId="2" fillId="0" borderId="2" xfId="0" applyFont="1" applyFill="1" applyBorder="1" applyAlignment="1">
      <alignment/>
    </xf>
    <xf numFmtId="0" fontId="2" fillId="0" borderId="5" xfId="0" applyFont="1" applyFill="1" applyBorder="1" applyAlignment="1">
      <alignment/>
    </xf>
    <xf numFmtId="3" fontId="0" fillId="0" borderId="5" xfId="0" applyNumberFormat="1" applyFont="1" applyBorder="1" applyAlignment="1">
      <alignment horizontal="center"/>
    </xf>
    <xf numFmtId="38" fontId="8" fillId="0" borderId="12" xfId="0" applyNumberFormat="1" applyFont="1" applyBorder="1" applyAlignment="1">
      <alignment/>
    </xf>
    <xf numFmtId="3" fontId="0" fillId="0" borderId="13" xfId="0" applyNumberFormat="1" applyFont="1" applyBorder="1" applyAlignment="1">
      <alignment/>
    </xf>
    <xf numFmtId="3" fontId="1" fillId="0" borderId="12" xfId="0" applyNumberFormat="1" applyFont="1" applyBorder="1" applyAlignment="1">
      <alignment horizontal="center"/>
    </xf>
    <xf numFmtId="3" fontId="1" fillId="0" borderId="2" xfId="0" applyNumberFormat="1" applyFont="1" applyBorder="1" applyAlignment="1">
      <alignment horizontal="center"/>
    </xf>
    <xf numFmtId="0" fontId="22" fillId="0" borderId="5" xfId="0" applyFont="1" applyBorder="1" applyAlignment="1">
      <alignment/>
    </xf>
    <xf numFmtId="3" fontId="0" fillId="0" borderId="26" xfId="0" applyNumberFormat="1" applyFont="1" applyBorder="1" applyAlignment="1">
      <alignment/>
    </xf>
    <xf numFmtId="0" fontId="0" fillId="0" borderId="5" xfId="0" applyFont="1" applyBorder="1" applyAlignment="1">
      <alignment/>
    </xf>
    <xf numFmtId="0" fontId="0" fillId="0" borderId="5" xfId="0" applyFont="1" applyBorder="1" applyAlignment="1">
      <alignment/>
    </xf>
    <xf numFmtId="0" fontId="22" fillId="0" borderId="5" xfId="0" applyFont="1" applyBorder="1" applyAlignment="1">
      <alignment/>
    </xf>
    <xf numFmtId="0" fontId="9" fillId="0" borderId="6" xfId="0" applyFont="1" applyBorder="1" applyAlignment="1">
      <alignment/>
    </xf>
    <xf numFmtId="3" fontId="9" fillId="0" borderId="27" xfId="0" applyNumberFormat="1" applyFont="1" applyBorder="1" applyAlignment="1">
      <alignment/>
    </xf>
    <xf numFmtId="3" fontId="9" fillId="0" borderId="13" xfId="0" applyNumberFormat="1" applyFont="1" applyBorder="1" applyAlignment="1">
      <alignment/>
    </xf>
    <xf numFmtId="3" fontId="0" fillId="0" borderId="2" xfId="0" applyNumberFormat="1" applyFont="1" applyBorder="1" applyAlignment="1">
      <alignment/>
    </xf>
    <xf numFmtId="3" fontId="9" fillId="0" borderId="0" xfId="0" applyNumberFormat="1" applyFont="1" applyBorder="1" applyAlignment="1">
      <alignment/>
    </xf>
    <xf numFmtId="0" fontId="1" fillId="0" borderId="6" xfId="0" applyFont="1" applyBorder="1" applyAlignment="1">
      <alignment/>
    </xf>
    <xf numFmtId="3" fontId="7" fillId="0" borderId="13" xfId="0" applyNumberFormat="1" applyFont="1" applyBorder="1" applyAlignment="1">
      <alignment horizontal="center"/>
    </xf>
    <xf numFmtId="3" fontId="7" fillId="0" borderId="4" xfId="0" applyNumberFormat="1" applyFont="1" applyBorder="1" applyAlignment="1">
      <alignment horizontal="center"/>
    </xf>
    <xf numFmtId="3" fontId="10" fillId="0" borderId="0" xfId="0" applyNumberFormat="1" applyFont="1" applyAlignment="1">
      <alignment/>
    </xf>
    <xf numFmtId="3" fontId="9" fillId="0" borderId="0" xfId="0" applyNumberFormat="1" applyFont="1" applyAlignment="1">
      <alignment/>
    </xf>
    <xf numFmtId="0" fontId="1" fillId="0" borderId="28" xfId="0" applyFont="1" applyBorder="1" applyAlignment="1">
      <alignment horizontal="right"/>
    </xf>
    <xf numFmtId="0" fontId="1" fillId="0" borderId="28" xfId="0" applyFont="1" applyBorder="1" applyAlignment="1">
      <alignment horizontal="center"/>
    </xf>
    <xf numFmtId="3" fontId="1" fillId="0" borderId="28" xfId="0" applyNumberFormat="1" applyFont="1" applyBorder="1" applyAlignment="1">
      <alignment/>
    </xf>
    <xf numFmtId="0" fontId="2" fillId="0" borderId="0" xfId="0" applyFont="1" applyAlignment="1">
      <alignment horizontal="center"/>
    </xf>
    <xf numFmtId="0" fontId="30" fillId="0" borderId="0" xfId="0" applyFont="1" applyAlignment="1">
      <alignment horizontal="center"/>
    </xf>
    <xf numFmtId="2" fontId="8" fillId="0" borderId="2" xfId="0" applyNumberFormat="1" applyFont="1" applyBorder="1" applyAlignment="1">
      <alignment/>
    </xf>
    <xf numFmtId="38" fontId="1" fillId="0" borderId="3" xfId="0" applyNumberFormat="1" applyFont="1" applyBorder="1" applyAlignment="1">
      <alignment/>
    </xf>
    <xf numFmtId="38" fontId="3" fillId="0" borderId="2" xfId="0" applyNumberFormat="1" applyFont="1" applyBorder="1" applyAlignment="1">
      <alignment/>
    </xf>
    <xf numFmtId="37" fontId="35" fillId="0" borderId="2" xfId="0" applyNumberFormat="1" applyFont="1" applyBorder="1" applyAlignment="1">
      <alignment/>
    </xf>
    <xf numFmtId="3" fontId="1" fillId="0" borderId="3" xfId="0" applyNumberFormat="1" applyFont="1" applyBorder="1" applyAlignment="1">
      <alignment horizontal="center"/>
    </xf>
    <xf numFmtId="0" fontId="0" fillId="0" borderId="29" xfId="0" applyFont="1" applyBorder="1" applyAlignment="1">
      <alignment/>
    </xf>
    <xf numFmtId="3" fontId="0" fillId="0" borderId="30" xfId="0" applyNumberFormat="1" applyFont="1" applyBorder="1" applyAlignment="1">
      <alignment/>
    </xf>
    <xf numFmtId="3" fontId="0" fillId="0" borderId="31" xfId="0" applyNumberFormat="1" applyFont="1" applyBorder="1" applyAlignment="1">
      <alignment/>
    </xf>
    <xf numFmtId="0" fontId="17" fillId="0" borderId="0" xfId="0" applyFont="1" applyAlignment="1">
      <alignment/>
    </xf>
    <xf numFmtId="0" fontId="1" fillId="0" borderId="0" xfId="0" applyFont="1" applyAlignment="1">
      <alignment horizontal="center"/>
    </xf>
    <xf numFmtId="0" fontId="1" fillId="0" borderId="0" xfId="0" applyFont="1" applyFill="1" applyBorder="1" applyAlignment="1">
      <alignment/>
    </xf>
    <xf numFmtId="0" fontId="0" fillId="0" borderId="5" xfId="0" applyFont="1" applyBorder="1" applyAlignment="1">
      <alignment horizontal="left"/>
    </xf>
    <xf numFmtId="0" fontId="7" fillId="0" borderId="12" xfId="0" applyFont="1" applyBorder="1" applyAlignment="1">
      <alignment/>
    </xf>
    <xf numFmtId="3" fontId="0" fillId="0" borderId="6" xfId="0" applyNumberFormat="1" applyFont="1" applyBorder="1" applyAlignment="1">
      <alignment/>
    </xf>
    <xf numFmtId="0" fontId="1" fillId="0" borderId="10" xfId="0" applyFont="1" applyBorder="1" applyAlignment="1">
      <alignment horizontal="center"/>
    </xf>
    <xf numFmtId="3" fontId="1" fillId="0" borderId="10" xfId="0" applyNumberFormat="1" applyFont="1" applyBorder="1" applyAlignment="1">
      <alignment/>
    </xf>
    <xf numFmtId="0" fontId="0" fillId="0" borderId="6" xfId="0" applyFont="1" applyBorder="1" applyAlignment="1">
      <alignment horizontal="center"/>
    </xf>
    <xf numFmtId="0" fontId="8" fillId="0" borderId="11"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1" fillId="0" borderId="0" xfId="0" applyFont="1" applyAlignment="1">
      <alignment/>
    </xf>
    <xf numFmtId="0" fontId="1" fillId="0" borderId="19" xfId="0"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0" fontId="1" fillId="0" borderId="10" xfId="0" applyFont="1" applyBorder="1" applyAlignment="1">
      <alignment/>
    </xf>
    <xf numFmtId="3" fontId="40" fillId="0" borderId="2" xfId="0" applyNumberFormat="1" applyFont="1" applyBorder="1" applyAlignment="1">
      <alignment/>
    </xf>
    <xf numFmtId="3" fontId="28" fillId="0" borderId="5" xfId="0" applyNumberFormat="1" applyFont="1" applyBorder="1" applyAlignment="1">
      <alignment/>
    </xf>
    <xf numFmtId="0" fontId="0" fillId="0" borderId="0" xfId="0" applyFont="1" applyBorder="1" applyAlignment="1">
      <alignment horizontal="right"/>
    </xf>
    <xf numFmtId="3" fontId="28" fillId="0" borderId="12" xfId="0" applyNumberFormat="1" applyFont="1" applyBorder="1" applyAlignment="1">
      <alignment/>
    </xf>
    <xf numFmtId="0" fontId="1" fillId="0" borderId="6" xfId="0" applyFont="1" applyBorder="1" applyAlignment="1">
      <alignment horizontal="center"/>
    </xf>
    <xf numFmtId="3" fontId="7" fillId="0" borderId="6" xfId="0" applyNumberFormat="1" applyFont="1" applyBorder="1" applyAlignment="1">
      <alignment/>
    </xf>
    <xf numFmtId="0" fontId="0" fillId="0" borderId="19" xfId="0" applyFont="1" applyBorder="1" applyAlignment="1">
      <alignment/>
    </xf>
    <xf numFmtId="0" fontId="0" fillId="0" borderId="15" xfId="0" applyFont="1" applyBorder="1" applyAlignment="1">
      <alignment/>
    </xf>
    <xf numFmtId="0" fontId="0" fillId="0" borderId="20" xfId="0" applyFont="1" applyBorder="1" applyAlignment="1">
      <alignment/>
    </xf>
    <xf numFmtId="3" fontId="0" fillId="0" borderId="19" xfId="0" applyNumberFormat="1" applyFont="1" applyBorder="1" applyAlignment="1">
      <alignment/>
    </xf>
    <xf numFmtId="3" fontId="1" fillId="0" borderId="24" xfId="0" applyNumberFormat="1" applyFont="1" applyBorder="1" applyAlignment="1">
      <alignment horizontal="center"/>
    </xf>
    <xf numFmtId="3" fontId="0" fillId="0" borderId="16" xfId="0" applyNumberFormat="1" applyFont="1" applyBorder="1" applyAlignment="1">
      <alignment/>
    </xf>
    <xf numFmtId="3" fontId="8" fillId="0" borderId="16" xfId="0" applyNumberFormat="1" applyFont="1" applyBorder="1" applyAlignment="1">
      <alignment/>
    </xf>
    <xf numFmtId="3" fontId="7" fillId="0" borderId="0" xfId="0" applyNumberFormat="1" applyFont="1" applyBorder="1" applyAlignment="1">
      <alignment/>
    </xf>
    <xf numFmtId="0" fontId="42" fillId="0" borderId="5" xfId="0" applyFont="1" applyBorder="1" applyAlignment="1">
      <alignment horizontal="left"/>
    </xf>
    <xf numFmtId="0" fontId="8" fillId="0" borderId="19" xfId="0" applyFont="1" applyBorder="1" applyAlignment="1">
      <alignment/>
    </xf>
    <xf numFmtId="0" fontId="8" fillId="0" borderId="20" xfId="0" applyFont="1" applyBorder="1" applyAlignment="1">
      <alignment/>
    </xf>
    <xf numFmtId="0" fontId="8" fillId="0" borderId="0" xfId="0" applyFont="1" applyBorder="1" applyAlignment="1">
      <alignment horizontal="centerContinuous"/>
    </xf>
    <xf numFmtId="3" fontId="7" fillId="0" borderId="2" xfId="0" applyNumberFormat="1" applyFont="1" applyBorder="1" applyAlignment="1">
      <alignment horizontal="right"/>
    </xf>
    <xf numFmtId="170" fontId="7" fillId="0" borderId="2" xfId="0" applyNumberFormat="1" applyFont="1" applyBorder="1" applyAlignment="1">
      <alignment horizontal="right"/>
    </xf>
    <xf numFmtId="170" fontId="8" fillId="0" borderId="2" xfId="0" applyNumberFormat="1" applyFont="1" applyBorder="1" applyAlignment="1">
      <alignment horizontal="right"/>
    </xf>
    <xf numFmtId="3" fontId="8" fillId="0" borderId="2" xfId="0" applyNumberFormat="1" applyFont="1" applyBorder="1" applyAlignment="1">
      <alignment horizontal="right"/>
    </xf>
    <xf numFmtId="3" fontId="10" fillId="0" borderId="2" xfId="0" applyNumberFormat="1" applyFont="1" applyBorder="1" applyAlignment="1">
      <alignment horizontal="right"/>
    </xf>
    <xf numFmtId="170" fontId="10" fillId="0" borderId="2" xfId="0" applyNumberFormat="1" applyFont="1" applyBorder="1" applyAlignment="1">
      <alignment horizontal="right"/>
    </xf>
    <xf numFmtId="170" fontId="8" fillId="0" borderId="0" xfId="0" applyNumberFormat="1" applyFont="1" applyAlignment="1">
      <alignment/>
    </xf>
    <xf numFmtId="3" fontId="44" fillId="0" borderId="0" xfId="0" applyNumberFormat="1" applyFont="1" applyAlignment="1">
      <alignment/>
    </xf>
    <xf numFmtId="0" fontId="27" fillId="0" borderId="0" xfId="0" applyFont="1" applyAlignment="1">
      <alignment horizontal="centerContinuous"/>
    </xf>
    <xf numFmtId="170" fontId="8" fillId="0" borderId="0" xfId="0" applyNumberFormat="1" applyFont="1" applyAlignment="1">
      <alignment horizontal="centerContinuous"/>
    </xf>
    <xf numFmtId="3" fontId="7" fillId="0" borderId="7" xfId="0" applyNumberFormat="1" applyFont="1" applyBorder="1" applyAlignment="1">
      <alignment horizontal="center"/>
    </xf>
    <xf numFmtId="3" fontId="7" fillId="0" borderId="14" xfId="0" applyNumberFormat="1" applyFont="1" applyBorder="1" applyAlignment="1">
      <alignment horizontal="center"/>
    </xf>
    <xf numFmtId="3" fontId="46" fillId="0" borderId="7" xfId="0" applyNumberFormat="1" applyFont="1" applyBorder="1" applyAlignment="1">
      <alignment horizontal="center"/>
    </xf>
    <xf numFmtId="3" fontId="46" fillId="0" borderId="9" xfId="0" applyNumberFormat="1" applyFont="1" applyBorder="1" applyAlignment="1">
      <alignment horizontal="center"/>
    </xf>
    <xf numFmtId="3" fontId="7" fillId="0" borderId="15" xfId="0" applyNumberFormat="1" applyFont="1" applyBorder="1" applyAlignment="1">
      <alignment horizontal="center"/>
    </xf>
    <xf numFmtId="3" fontId="29" fillId="0" borderId="15" xfId="0" applyNumberFormat="1" applyFont="1" applyBorder="1" applyAlignment="1">
      <alignment horizontal="center"/>
    </xf>
    <xf numFmtId="3" fontId="7" fillId="0" borderId="21" xfId="0" applyNumberFormat="1" applyFont="1" applyBorder="1" applyAlignment="1">
      <alignment horizontal="center"/>
    </xf>
    <xf numFmtId="3" fontId="29" fillId="0" borderId="21" xfId="0" applyNumberFormat="1" applyFont="1" applyBorder="1" applyAlignment="1">
      <alignment horizontal="center"/>
    </xf>
    <xf numFmtId="3" fontId="46" fillId="0" borderId="1" xfId="0" applyNumberFormat="1" applyFont="1" applyBorder="1" applyAlignment="1">
      <alignment horizontal="center"/>
    </xf>
    <xf numFmtId="170" fontId="10" fillId="0" borderId="2" xfId="0" applyNumberFormat="1" applyFont="1" applyBorder="1" applyAlignment="1">
      <alignment/>
    </xf>
    <xf numFmtId="170" fontId="8" fillId="0" borderId="4" xfId="0" applyNumberFormat="1" applyFont="1" applyBorder="1" applyAlignment="1">
      <alignment/>
    </xf>
    <xf numFmtId="170" fontId="7" fillId="0" borderId="0" xfId="0" applyNumberFormat="1" applyFont="1" applyAlignment="1">
      <alignment horizontal="center"/>
    </xf>
    <xf numFmtId="3" fontId="10" fillId="0" borderId="0" xfId="0" applyNumberFormat="1" applyFont="1" applyAlignment="1" quotePrefix="1">
      <alignment horizontal="center"/>
    </xf>
    <xf numFmtId="0" fontId="47" fillId="0" borderId="0" xfId="0" applyFont="1" applyAlignment="1">
      <alignment/>
    </xf>
    <xf numFmtId="0" fontId="48" fillId="0" borderId="0" xfId="0" applyFont="1" applyAlignment="1">
      <alignment horizontal="center"/>
    </xf>
    <xf numFmtId="3" fontId="48" fillId="0" borderId="0" xfId="0" applyNumberFormat="1" applyFont="1" applyAlignment="1">
      <alignment horizontal="center"/>
    </xf>
    <xf numFmtId="3" fontId="0" fillId="0" borderId="5" xfId="0" applyNumberFormat="1" applyFont="1" applyBorder="1" applyAlignment="1">
      <alignment/>
    </xf>
    <xf numFmtId="0" fontId="0" fillId="0" borderId="12" xfId="0" applyFont="1" applyBorder="1" applyAlignment="1">
      <alignment/>
    </xf>
    <xf numFmtId="0" fontId="0" fillId="0" borderId="5" xfId="0" applyFont="1" applyBorder="1" applyAlignment="1">
      <alignment/>
    </xf>
    <xf numFmtId="0" fontId="28" fillId="0" borderId="12" xfId="0" applyFont="1" applyBorder="1" applyAlignment="1">
      <alignment/>
    </xf>
    <xf numFmtId="0" fontId="28" fillId="0" borderId="5" xfId="0" applyFont="1" applyBorder="1" applyAlignment="1">
      <alignment/>
    </xf>
    <xf numFmtId="0" fontId="49" fillId="0" borderId="7" xfId="0" applyFont="1" applyBorder="1" applyAlignment="1">
      <alignment horizontal="centerContinuous"/>
    </xf>
    <xf numFmtId="0" fontId="28" fillId="0" borderId="8" xfId="0" applyFont="1" applyBorder="1" applyAlignment="1">
      <alignment horizontal="centerContinuous"/>
    </xf>
    <xf numFmtId="0" fontId="49" fillId="0" borderId="9" xfId="0" applyFont="1" applyBorder="1" applyAlignment="1">
      <alignment horizontal="centerContinuous"/>
    </xf>
    <xf numFmtId="0" fontId="28" fillId="0" borderId="10" xfId="0" applyFont="1" applyBorder="1" applyAlignment="1">
      <alignment/>
    </xf>
    <xf numFmtId="0" fontId="28" fillId="0" borderId="11" xfId="0" applyFont="1" applyBorder="1" applyAlignment="1">
      <alignment/>
    </xf>
    <xf numFmtId="3" fontId="49" fillId="0" borderId="5" xfId="0" applyNumberFormat="1" applyFont="1" applyBorder="1" applyAlignment="1">
      <alignment/>
    </xf>
    <xf numFmtId="0" fontId="49" fillId="0" borderId="12" xfId="0" applyFont="1" applyBorder="1" applyAlignment="1">
      <alignment/>
    </xf>
    <xf numFmtId="3" fontId="49" fillId="0" borderId="12" xfId="0" applyNumberFormat="1" applyFont="1" applyBorder="1" applyAlignment="1">
      <alignment/>
    </xf>
    <xf numFmtId="3" fontId="28" fillId="0" borderId="6" xfId="0" applyNumberFormat="1" applyFont="1" applyBorder="1" applyAlignment="1">
      <alignment/>
    </xf>
    <xf numFmtId="0" fontId="28" fillId="0" borderId="13" xfId="0" applyFont="1" applyBorder="1" applyAlignment="1">
      <alignment/>
    </xf>
    <xf numFmtId="0" fontId="28" fillId="0" borderId="20" xfId="0" applyFont="1" applyBorder="1" applyAlignment="1">
      <alignment/>
    </xf>
    <xf numFmtId="3" fontId="49" fillId="0" borderId="10" xfId="0" applyNumberFormat="1" applyFont="1" applyBorder="1" applyAlignment="1">
      <alignment/>
    </xf>
    <xf numFmtId="0" fontId="49" fillId="0" borderId="11" xfId="0" applyFont="1" applyBorder="1" applyAlignment="1">
      <alignment/>
    </xf>
    <xf numFmtId="3" fontId="49" fillId="0" borderId="6" xfId="0" applyNumberFormat="1" applyFont="1" applyBorder="1" applyAlignment="1">
      <alignment/>
    </xf>
    <xf numFmtId="3" fontId="28" fillId="0" borderId="10" xfId="0" applyNumberFormat="1" applyFont="1" applyBorder="1" applyAlignment="1">
      <alignment/>
    </xf>
    <xf numFmtId="0" fontId="49" fillId="0" borderId="1" xfId="0" applyFont="1" applyBorder="1" applyAlignment="1">
      <alignment horizontal="center"/>
    </xf>
    <xf numFmtId="3" fontId="28" fillId="0" borderId="24" xfId="0" applyNumberFormat="1" applyFont="1" applyBorder="1" applyAlignment="1">
      <alignment/>
    </xf>
    <xf numFmtId="3" fontId="28" fillId="0" borderId="4" xfId="0" applyNumberFormat="1" applyFont="1" applyBorder="1" applyAlignment="1">
      <alignment/>
    </xf>
    <xf numFmtId="3" fontId="38" fillId="0" borderId="0" xfId="0" applyNumberFormat="1" applyFont="1" applyAlignment="1">
      <alignment/>
    </xf>
    <xf numFmtId="3" fontId="3" fillId="0" borderId="5" xfId="0" applyNumberFormat="1" applyFont="1" applyBorder="1" applyAlignment="1">
      <alignment/>
    </xf>
    <xf numFmtId="3" fontId="3" fillId="0" borderId="12"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28" fillId="0" borderId="29" xfId="0" applyFont="1" applyBorder="1" applyAlignment="1">
      <alignment/>
    </xf>
    <xf numFmtId="0" fontId="49" fillId="0" borderId="24" xfId="0" applyFont="1" applyBorder="1" applyAlignment="1">
      <alignment/>
    </xf>
    <xf numFmtId="0" fontId="28" fillId="0" borderId="31" xfId="0" applyFont="1" applyBorder="1" applyAlignment="1">
      <alignment/>
    </xf>
    <xf numFmtId="3" fontId="28" fillId="0" borderId="29" xfId="0" applyNumberFormat="1" applyFont="1" applyBorder="1" applyAlignment="1">
      <alignment/>
    </xf>
    <xf numFmtId="0" fontId="28" fillId="0" borderId="0" xfId="0" applyFont="1" applyBorder="1" applyAlignment="1">
      <alignment/>
    </xf>
    <xf numFmtId="0" fontId="49" fillId="0" borderId="5" xfId="0" applyFont="1" applyBorder="1" applyAlignment="1" quotePrefix="1">
      <alignment horizontal="center"/>
    </xf>
    <xf numFmtId="0" fontId="49" fillId="0" borderId="2" xfId="0" applyFont="1" applyBorder="1" applyAlignment="1">
      <alignment/>
    </xf>
    <xf numFmtId="3" fontId="49" fillId="0" borderId="5" xfId="0" applyNumberFormat="1" applyFont="1" applyBorder="1" applyAlignment="1">
      <alignment horizontal="right"/>
    </xf>
    <xf numFmtId="4" fontId="28" fillId="0" borderId="12" xfId="0" applyNumberFormat="1" applyFont="1" applyBorder="1" applyAlignment="1">
      <alignment/>
    </xf>
    <xf numFmtId="4" fontId="49" fillId="0" borderId="5" xfId="0" applyNumberFormat="1" applyFont="1" applyBorder="1" applyAlignment="1">
      <alignment horizontal="right"/>
    </xf>
    <xf numFmtId="0" fontId="28" fillId="0" borderId="5" xfId="0" applyFont="1" applyBorder="1" applyAlignment="1" quotePrefix="1">
      <alignment horizontal="center"/>
    </xf>
    <xf numFmtId="4" fontId="28" fillId="0" borderId="5" xfId="0" applyNumberFormat="1" applyFont="1" applyBorder="1" applyAlignment="1">
      <alignment horizontal="right"/>
    </xf>
    <xf numFmtId="4" fontId="49" fillId="0" borderId="5" xfId="0" applyNumberFormat="1" applyFont="1" applyBorder="1" applyAlignment="1">
      <alignment/>
    </xf>
    <xf numFmtId="0" fontId="28" fillId="0" borderId="6" xfId="0" applyFont="1" applyBorder="1" applyAlignment="1">
      <alignment/>
    </xf>
    <xf numFmtId="0" fontId="28" fillId="0" borderId="4" xfId="0" applyFont="1" applyBorder="1" applyAlignment="1">
      <alignment/>
    </xf>
    <xf numFmtId="3" fontId="8" fillId="0" borderId="0" xfId="0" applyNumberFormat="1" applyFont="1" applyAlignment="1" quotePrefix="1">
      <alignment/>
    </xf>
    <xf numFmtId="3" fontId="49" fillId="0" borderId="2" xfId="0" applyNumberFormat="1" applyFont="1" applyBorder="1" applyAlignment="1">
      <alignment/>
    </xf>
    <xf numFmtId="3" fontId="3" fillId="0" borderId="0" xfId="0" applyNumberFormat="1" applyFont="1" applyBorder="1" applyAlignment="1">
      <alignment/>
    </xf>
    <xf numFmtId="3" fontId="49" fillId="0" borderId="4" xfId="0" applyNumberFormat="1" applyFont="1" applyBorder="1" applyAlignment="1">
      <alignment/>
    </xf>
    <xf numFmtId="38" fontId="28" fillId="0" borderId="2" xfId="0" applyNumberFormat="1" applyFont="1" applyBorder="1" applyAlignment="1">
      <alignment/>
    </xf>
    <xf numFmtId="3" fontId="28" fillId="0" borderId="3" xfId="0" applyNumberFormat="1" applyFont="1" applyBorder="1" applyAlignment="1">
      <alignment/>
    </xf>
    <xf numFmtId="0" fontId="0" fillId="0" borderId="28" xfId="0" applyFont="1" applyBorder="1" applyAlignment="1">
      <alignment/>
    </xf>
    <xf numFmtId="3" fontId="17" fillId="0" borderId="28" xfId="0" applyNumberFormat="1" applyFont="1" applyBorder="1" applyAlignment="1">
      <alignment/>
    </xf>
    <xf numFmtId="3" fontId="49" fillId="0" borderId="2" xfId="0" applyNumberFormat="1" applyFont="1" applyBorder="1" applyAlignment="1">
      <alignment/>
    </xf>
    <xf numFmtId="3" fontId="0" fillId="0" borderId="26" xfId="0" applyNumberFormat="1" applyFont="1" applyBorder="1" applyAlignment="1">
      <alignment horizontal="center"/>
    </xf>
    <xf numFmtId="3" fontId="0" fillId="0" borderId="27" xfId="0" applyNumberFormat="1" applyFont="1" applyBorder="1" applyAlignment="1">
      <alignment horizontal="center"/>
    </xf>
    <xf numFmtId="3" fontId="0" fillId="0" borderId="4" xfId="0" applyNumberFormat="1" applyFont="1" applyBorder="1" applyAlignment="1">
      <alignment horizontal="center"/>
    </xf>
    <xf numFmtId="3" fontId="50" fillId="0" borderId="0" xfId="0" applyNumberFormat="1" applyFont="1" applyAlignment="1" quotePrefix="1">
      <alignment/>
    </xf>
    <xf numFmtId="38" fontId="17" fillId="0" borderId="2" xfId="0" applyNumberFormat="1" applyFont="1" applyBorder="1" applyAlignment="1">
      <alignment/>
    </xf>
    <xf numFmtId="3" fontId="0" fillId="0" borderId="20" xfId="0" applyNumberFormat="1" applyFont="1" applyBorder="1" applyAlignment="1">
      <alignment/>
    </xf>
    <xf numFmtId="3" fontId="28" fillId="0" borderId="19" xfId="0" applyNumberFormat="1" applyFont="1" applyBorder="1" applyAlignment="1">
      <alignment/>
    </xf>
    <xf numFmtId="3" fontId="28" fillId="0" borderId="20" xfId="0" applyNumberFormat="1" applyFont="1" applyBorder="1" applyAlignment="1">
      <alignment/>
    </xf>
    <xf numFmtId="3" fontId="28" fillId="0" borderId="13" xfId="0" applyNumberFormat="1" applyFont="1" applyBorder="1" applyAlignment="1">
      <alignment/>
    </xf>
    <xf numFmtId="3" fontId="8" fillId="0" borderId="19" xfId="0" applyNumberFormat="1" applyFont="1" applyBorder="1" applyAlignment="1">
      <alignment/>
    </xf>
    <xf numFmtId="0" fontId="41" fillId="0" borderId="0" xfId="0" applyFont="1" applyAlignment="1">
      <alignment horizont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11" fillId="0" borderId="0" xfId="0" applyFont="1" applyBorder="1" applyAlignment="1">
      <alignment horizontal="center"/>
    </xf>
    <xf numFmtId="0" fontId="15" fillId="0" borderId="0" xfId="0" applyFont="1" applyAlignment="1">
      <alignment horizontal="center"/>
    </xf>
    <xf numFmtId="3" fontId="7" fillId="0" borderId="14"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45" fillId="0" borderId="16" xfId="0" applyNumberFormat="1" applyFont="1" applyBorder="1" applyAlignment="1">
      <alignment horizontal="center"/>
    </xf>
    <xf numFmtId="3" fontId="46" fillId="0" borderId="7" xfId="0" applyNumberFormat="1" applyFont="1" applyBorder="1" applyAlignment="1">
      <alignment horizontal="center"/>
    </xf>
    <xf numFmtId="3" fontId="46" fillId="0" borderId="9" xfId="0" applyNumberFormat="1" applyFont="1" applyBorder="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21" xfId="0" applyFont="1" applyBorder="1" applyAlignment="1">
      <alignment vertical="center"/>
    </xf>
    <xf numFmtId="3" fontId="7" fillId="0" borderId="7" xfId="0" applyNumberFormat="1" applyFont="1" applyBorder="1" applyAlignment="1">
      <alignment horizontal="center"/>
    </xf>
    <xf numFmtId="3" fontId="7" fillId="0" borderId="8" xfId="0" applyNumberFormat="1" applyFont="1" applyBorder="1" applyAlignment="1">
      <alignment horizontal="center"/>
    </xf>
    <xf numFmtId="3" fontId="7" fillId="0" borderId="9" xfId="0" applyNumberFormat="1" applyFont="1" applyBorder="1" applyAlignment="1">
      <alignment horizontal="center"/>
    </xf>
    <xf numFmtId="0" fontId="49" fillId="0" borderId="7" xfId="0" applyFont="1" applyBorder="1" applyAlignment="1">
      <alignment horizontal="center"/>
    </xf>
    <xf numFmtId="0" fontId="49" fillId="0" borderId="9" xfId="0" applyFont="1" applyBorder="1" applyAlignment="1">
      <alignment horizontal="center"/>
    </xf>
    <xf numFmtId="0" fontId="1" fillId="0" borderId="14" xfId="0" applyFont="1" applyBorder="1" applyAlignment="1">
      <alignment horizontal="center" vertical="center"/>
    </xf>
    <xf numFmtId="0" fontId="0" fillId="0" borderId="21" xfId="0" applyBorder="1" applyAlignment="1">
      <alignment horizontal="center" vertical="center"/>
    </xf>
    <xf numFmtId="0" fontId="1" fillId="0" borderId="7" xfId="0" applyFont="1" applyBorder="1" applyAlignment="1">
      <alignment horizontal="center"/>
    </xf>
    <xf numFmtId="0" fontId="1" fillId="0" borderId="9" xfId="0" applyFont="1" applyBorder="1" applyAlignment="1">
      <alignment horizontal="center"/>
    </xf>
    <xf numFmtId="0" fontId="16" fillId="0" borderId="0" xfId="0" applyFont="1" applyAlignment="1">
      <alignment horizontal="center"/>
    </xf>
    <xf numFmtId="0" fontId="39" fillId="0" borderId="0" xfId="0" applyFont="1" applyAlignment="1">
      <alignment horizontal="center"/>
    </xf>
    <xf numFmtId="0" fontId="0" fillId="0" borderId="21" xfId="0" applyFont="1" applyBorder="1" applyAlignment="1">
      <alignment vertical="center"/>
    </xf>
    <xf numFmtId="0" fontId="32" fillId="0" borderId="16"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3" fontId="1"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3" fontId="0" fillId="0" borderId="7" xfId="0" applyNumberFormat="1" applyFont="1" applyBorder="1" applyAlignment="1">
      <alignment horizontal="center"/>
    </xf>
    <xf numFmtId="3" fontId="0" fillId="0" borderId="8" xfId="0" applyNumberFormat="1" applyFont="1" applyBorder="1" applyAlignment="1">
      <alignment horizontal="center"/>
    </xf>
    <xf numFmtId="3" fontId="0" fillId="0" borderId="9" xfId="0" applyNumberFormat="1" applyFont="1" applyBorder="1" applyAlignment="1">
      <alignment horizontal="center"/>
    </xf>
    <xf numFmtId="0" fontId="0" fillId="0" borderId="15" xfId="0" applyFont="1" applyBorder="1" applyAlignment="1">
      <alignment horizontal="center" vertical="center"/>
    </xf>
    <xf numFmtId="0" fontId="31" fillId="0" borderId="1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3" fillId="0" borderId="0" xfId="0" applyFont="1" applyBorder="1" applyAlignment="1">
      <alignment horizontal="center"/>
    </xf>
    <xf numFmtId="0" fontId="8" fillId="0" borderId="5" xfId="0" applyFont="1" applyBorder="1" applyAlignment="1" quotePrefix="1">
      <alignment horizontal="center"/>
    </xf>
    <xf numFmtId="0" fontId="8" fillId="0" borderId="12" xfId="0" applyFont="1" applyBorder="1" applyAlignment="1" quotePrefix="1">
      <alignment horizontal="center"/>
    </xf>
    <xf numFmtId="0" fontId="8" fillId="0" borderId="6" xfId="0" applyFont="1" applyBorder="1" applyAlignment="1">
      <alignment horizontal="center"/>
    </xf>
    <xf numFmtId="0" fontId="8" fillId="0" borderId="13" xfId="0" applyFont="1" applyBorder="1" applyAlignment="1">
      <alignment horizontal="center"/>
    </xf>
    <xf numFmtId="4" fontId="8" fillId="0" borderId="5" xfId="0" applyNumberFormat="1" applyFont="1" applyBorder="1" applyAlignment="1" quotePrefix="1">
      <alignment horizontal="center"/>
    </xf>
    <xf numFmtId="0" fontId="33" fillId="0" borderId="0" xfId="0"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34" fillId="0" borderId="0" xfId="0"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7"/>
  <sheetViews>
    <sheetView workbookViewId="0" topLeftCell="A1">
      <selection activeCell="D12" sqref="D12"/>
    </sheetView>
  </sheetViews>
  <sheetFormatPr defaultColWidth="8.796875" defaultRowHeight="15"/>
  <cols>
    <col min="1" max="1" width="34" style="111" customWidth="1"/>
    <col min="2" max="2" width="16.3984375" style="12" customWidth="1"/>
    <col min="3" max="3" width="2.19921875" style="12" customWidth="1"/>
    <col min="4" max="4" width="16.69921875" style="12" customWidth="1"/>
    <col min="5" max="5" width="2.3984375" style="12" customWidth="1"/>
    <col min="6" max="6" width="16.8984375" style="12" customWidth="1"/>
    <col min="7" max="7" width="2.3984375" style="12" customWidth="1"/>
    <col min="8" max="8" width="16.69921875" style="12" customWidth="1"/>
    <col min="9" max="9" width="2.19921875" style="111" customWidth="1"/>
    <col min="10" max="16384" width="9" style="111" customWidth="1"/>
  </cols>
  <sheetData>
    <row r="1" spans="1:9" s="120" customFormat="1" ht="22.5">
      <c r="A1" s="383" t="s">
        <v>601</v>
      </c>
      <c r="B1" s="383"/>
      <c r="C1" s="383"/>
      <c r="D1" s="383"/>
      <c r="E1" s="383"/>
      <c r="F1" s="383"/>
      <c r="G1" s="383"/>
      <c r="H1" s="383"/>
      <c r="I1" s="383"/>
    </row>
    <row r="2" spans="1:9" s="11" customFormat="1" ht="15.75" customHeight="1">
      <c r="A2" s="121"/>
      <c r="B2" s="121"/>
      <c r="C2" s="121"/>
      <c r="D2" s="121"/>
      <c r="E2" s="121"/>
      <c r="F2" s="121"/>
      <c r="G2" s="121"/>
      <c r="H2" s="121"/>
      <c r="I2" s="121"/>
    </row>
    <row r="3" spans="1:9" s="12" customFormat="1" ht="18.75" customHeight="1">
      <c r="A3" s="122"/>
      <c r="B3" s="123" t="s">
        <v>1037</v>
      </c>
      <c r="C3" s="124"/>
      <c r="D3" s="123" t="s">
        <v>1038</v>
      </c>
      <c r="E3" s="124"/>
      <c r="F3" s="123" t="s">
        <v>1038</v>
      </c>
      <c r="G3" s="124"/>
      <c r="H3" s="123" t="s">
        <v>1037</v>
      </c>
      <c r="I3" s="124"/>
    </row>
    <row r="4" spans="1:9" s="12" customFormat="1" ht="18.75" customHeight="1">
      <c r="A4" s="113" t="s">
        <v>1036</v>
      </c>
      <c r="B4" s="125" t="s">
        <v>1039</v>
      </c>
      <c r="C4" s="126"/>
      <c r="D4" s="125" t="s">
        <v>1040</v>
      </c>
      <c r="E4" s="126"/>
      <c r="F4" s="125" t="s">
        <v>1041</v>
      </c>
      <c r="G4" s="126"/>
      <c r="H4" s="125" t="s">
        <v>1042</v>
      </c>
      <c r="I4" s="126"/>
    </row>
    <row r="5" spans="1:9" s="12" customFormat="1" ht="18.75" customHeight="1">
      <c r="A5" s="127"/>
      <c r="B5" s="128" t="s">
        <v>406</v>
      </c>
      <c r="C5" s="129"/>
      <c r="D5" s="128" t="s">
        <v>407</v>
      </c>
      <c r="E5" s="129"/>
      <c r="F5" s="128" t="s">
        <v>408</v>
      </c>
      <c r="G5" s="129"/>
      <c r="H5" s="128" t="s">
        <v>406</v>
      </c>
      <c r="I5" s="129"/>
    </row>
    <row r="6" spans="1:9" s="12" customFormat="1" ht="21" customHeight="1">
      <c r="A6" s="15" t="s">
        <v>666</v>
      </c>
      <c r="B6" s="19">
        <v>1305445334</v>
      </c>
      <c r="C6" s="39"/>
      <c r="D6" s="19">
        <f>D20</f>
        <v>6534207532</v>
      </c>
      <c r="E6" s="39"/>
      <c r="F6" s="19">
        <f>'BIEU 02-Bang CDSPS (R)'!H160-D18</f>
        <v>7754438071</v>
      </c>
      <c r="G6" s="39"/>
      <c r="H6" s="19">
        <f>B6+D6-F6</f>
        <v>85214795</v>
      </c>
      <c r="I6" s="39"/>
    </row>
    <row r="7" spans="1:9" s="12" customFormat="1" ht="21" customHeight="1">
      <c r="A7" s="15" t="s">
        <v>244</v>
      </c>
      <c r="B7" s="20">
        <v>0</v>
      </c>
      <c r="C7" s="39"/>
      <c r="D7" s="19">
        <f>'BIEU 02-Bang CDSPS (R)'!J161</f>
        <v>375449651</v>
      </c>
      <c r="E7" s="39"/>
      <c r="F7" s="19">
        <f>'BIEU 02-Bang CDSPS (R)'!H161</f>
        <v>375449651</v>
      </c>
      <c r="G7" s="39"/>
      <c r="H7" s="19">
        <f aca="true" t="shared" si="0" ref="H7:H12">B7+D7-F7</f>
        <v>0</v>
      </c>
      <c r="I7" s="39"/>
    </row>
    <row r="8" spans="1:9" s="12" customFormat="1" ht="21" customHeight="1">
      <c r="A8" s="15" t="s">
        <v>1081</v>
      </c>
      <c r="B8" s="19">
        <v>0</v>
      </c>
      <c r="C8" s="39"/>
      <c r="D8" s="19">
        <f>'BIEU 02-Bang CDSPS (R)'!J162</f>
        <v>4022616136</v>
      </c>
      <c r="E8" s="39"/>
      <c r="F8" s="19">
        <f>'BIEU 02-Bang CDSPS (R)'!H162</f>
        <v>2860636523</v>
      </c>
      <c r="G8" s="39"/>
      <c r="H8" s="19">
        <f t="shared" si="0"/>
        <v>1161979613</v>
      </c>
      <c r="I8" s="39"/>
    </row>
    <row r="9" spans="1:9" s="12" customFormat="1" ht="21" customHeight="1">
      <c r="A9" s="15" t="s">
        <v>307</v>
      </c>
      <c r="B9" s="19">
        <v>0</v>
      </c>
      <c r="C9" s="39"/>
      <c r="D9" s="19">
        <f>'BIEU 02-Bang CDSPS (R)'!J163</f>
        <v>26772474230</v>
      </c>
      <c r="E9" s="39"/>
      <c r="F9" s="19">
        <f>'BIEU 02-Bang CDSPS (R)'!H163</f>
        <v>12774911105</v>
      </c>
      <c r="G9" s="39"/>
      <c r="H9" s="19">
        <f t="shared" si="0"/>
        <v>13997563125</v>
      </c>
      <c r="I9" s="39"/>
    </row>
    <row r="10" spans="1:9" s="12" customFormat="1" ht="21" customHeight="1">
      <c r="A10" s="15" t="s">
        <v>946</v>
      </c>
      <c r="B10" s="19">
        <v>0</v>
      </c>
      <c r="C10" s="39"/>
      <c r="D10" s="19">
        <f>'BIEU 02-Bang CDSPS (R)'!J164</f>
        <v>39593690</v>
      </c>
      <c r="E10" s="39"/>
      <c r="F10" s="19">
        <f>'BIEU 02-Bang CDSPS (R)'!H164</f>
        <v>39593690</v>
      </c>
      <c r="G10" s="39"/>
      <c r="H10" s="19">
        <f t="shared" si="0"/>
        <v>0</v>
      </c>
      <c r="I10" s="39"/>
    </row>
    <row r="11" spans="1:9" s="12" customFormat="1" ht="21" customHeight="1">
      <c r="A11" s="15" t="s">
        <v>947</v>
      </c>
      <c r="B11" s="19">
        <v>0</v>
      </c>
      <c r="C11" s="39"/>
      <c r="D11" s="19">
        <f>'BIEU 02-Bang CDSPS (R)'!J165</f>
        <v>7000000</v>
      </c>
      <c r="E11" s="39"/>
      <c r="F11" s="19">
        <f>'BIEU 02-Bang CDSPS (R)'!H165</f>
        <v>7000000</v>
      </c>
      <c r="G11" s="39"/>
      <c r="H11" s="19">
        <f t="shared" si="0"/>
        <v>0</v>
      </c>
      <c r="I11" s="39"/>
    </row>
    <row r="12" spans="1:9" s="12" customFormat="1" ht="21" customHeight="1">
      <c r="A12" s="15" t="s">
        <v>948</v>
      </c>
      <c r="B12" s="19">
        <v>5266016700</v>
      </c>
      <c r="C12" s="39"/>
      <c r="D12" s="19">
        <f>144114010+563513500</f>
        <v>707627510</v>
      </c>
      <c r="E12" s="39"/>
      <c r="F12" s="19">
        <f>'BIEU 02-Bang CDSPS (R)'!H166</f>
        <v>5410130710</v>
      </c>
      <c r="G12" s="39"/>
      <c r="H12" s="19">
        <f t="shared" si="0"/>
        <v>563513500</v>
      </c>
      <c r="I12" s="39"/>
    </row>
    <row r="13" spans="1:9" s="12" customFormat="1" ht="21" customHeight="1">
      <c r="A13" s="83" t="s">
        <v>596</v>
      </c>
      <c r="B13" s="341">
        <f>SUM(B6:B12)</f>
        <v>6571462034</v>
      </c>
      <c r="C13" s="342"/>
      <c r="D13" s="341">
        <f>SUM(D6:D12)</f>
        <v>38458968749</v>
      </c>
      <c r="E13" s="342"/>
      <c r="F13" s="341">
        <f>SUM(F6:F12)</f>
        <v>29222159750</v>
      </c>
      <c r="G13" s="342"/>
      <c r="H13" s="341">
        <f>SUM(H6:H12)</f>
        <v>15808271033</v>
      </c>
      <c r="I13" s="39"/>
    </row>
    <row r="14" spans="1:9" s="21" customFormat="1" ht="19.5" customHeight="1">
      <c r="A14" s="63"/>
      <c r="B14" s="29"/>
      <c r="C14" s="47"/>
      <c r="D14" s="29"/>
      <c r="E14" s="47"/>
      <c r="F14" s="29"/>
      <c r="G14" s="47"/>
      <c r="H14" s="29"/>
      <c r="I14" s="130"/>
    </row>
    <row r="15" spans="1:8" s="119" customFormat="1" ht="28.5" customHeight="1">
      <c r="A15" s="12" t="s">
        <v>952</v>
      </c>
      <c r="B15" s="12"/>
      <c r="C15" s="12"/>
      <c r="D15" s="18">
        <f>7720018754-463636</f>
        <v>7719555118</v>
      </c>
      <c r="E15" s="340"/>
      <c r="F15" s="340"/>
      <c r="G15" s="343"/>
      <c r="H15" s="343"/>
    </row>
    <row r="16" spans="1:8" s="119" customFormat="1" ht="21" customHeight="1">
      <c r="A16" s="12" t="s">
        <v>603</v>
      </c>
      <c r="B16" s="343"/>
      <c r="C16" s="343"/>
      <c r="D16" s="344">
        <v>454449338</v>
      </c>
      <c r="E16" s="340"/>
      <c r="F16" s="340"/>
      <c r="G16" s="343"/>
      <c r="H16" s="343"/>
    </row>
    <row r="17" spans="1:8" s="119" customFormat="1" ht="21" customHeight="1">
      <c r="A17" s="12" t="s">
        <v>602</v>
      </c>
      <c r="B17" s="343"/>
      <c r="C17" s="343"/>
      <c r="D17" s="344">
        <v>151241656</v>
      </c>
      <c r="E17" s="340"/>
      <c r="F17" s="344"/>
      <c r="G17" s="343"/>
      <c r="H17" s="343"/>
    </row>
    <row r="18" spans="1:8" s="119" customFormat="1" ht="21" customHeight="1">
      <c r="A18" s="12" t="s">
        <v>953</v>
      </c>
      <c r="B18" s="343"/>
      <c r="C18" s="343"/>
      <c r="D18" s="344">
        <f>D15-D16-D17</f>
        <v>7113864124</v>
      </c>
      <c r="E18" s="340"/>
      <c r="F18" s="344"/>
      <c r="G18" s="343"/>
      <c r="H18" s="343"/>
    </row>
    <row r="19" spans="1:8" s="119" customFormat="1" ht="21.75" customHeight="1">
      <c r="A19" s="12" t="s">
        <v>950</v>
      </c>
      <c r="B19" s="343"/>
      <c r="C19" s="343"/>
      <c r="D19" s="344">
        <f>13676159020-17684636-10402727-1</f>
        <v>13648071656</v>
      </c>
      <c r="E19" s="340"/>
      <c r="F19" s="340"/>
      <c r="G19" s="343"/>
      <c r="H19" s="343"/>
    </row>
    <row r="20" spans="1:8" s="119" customFormat="1" ht="18">
      <c r="A20" s="12" t="s">
        <v>951</v>
      </c>
      <c r="B20" s="343"/>
      <c r="C20" s="343"/>
      <c r="D20" s="344">
        <f>D19-D18</f>
        <v>6534207532</v>
      </c>
      <c r="E20" s="340"/>
      <c r="F20" s="340"/>
      <c r="G20" s="343"/>
      <c r="H20" s="343"/>
    </row>
    <row r="22" spans="1:8" s="74" customFormat="1" ht="18">
      <c r="A22" s="6" t="s">
        <v>949</v>
      </c>
      <c r="B22" s="343"/>
      <c r="C22" s="50" t="s">
        <v>418</v>
      </c>
      <c r="D22" s="22"/>
      <c r="E22" s="22"/>
      <c r="F22" s="22"/>
      <c r="G22" s="257" t="s">
        <v>546</v>
      </c>
      <c r="H22" s="22"/>
    </row>
    <row r="23" spans="2:8" s="74" customFormat="1" ht="17.25">
      <c r="B23" s="22"/>
      <c r="C23" s="22"/>
      <c r="D23" s="22"/>
      <c r="E23" s="22"/>
      <c r="F23" s="90"/>
      <c r="G23" s="90"/>
      <c r="H23" s="22"/>
    </row>
    <row r="24" spans="2:8" s="74" customFormat="1" ht="17.25">
      <c r="B24" s="22"/>
      <c r="C24" s="22"/>
      <c r="D24" s="22"/>
      <c r="E24" s="22"/>
      <c r="F24" s="90"/>
      <c r="G24" s="90"/>
      <c r="H24" s="22"/>
    </row>
    <row r="25" spans="2:8" s="74" customFormat="1" ht="17.25">
      <c r="B25" s="22"/>
      <c r="C25" s="22"/>
      <c r="D25" s="22"/>
      <c r="E25" s="22"/>
      <c r="F25" s="90"/>
      <c r="G25" s="90"/>
      <c r="H25" s="22"/>
    </row>
    <row r="26" spans="2:8" s="74" customFormat="1" ht="17.25">
      <c r="B26" s="22"/>
      <c r="C26" s="22"/>
      <c r="D26" s="22"/>
      <c r="E26" s="22"/>
      <c r="F26" s="90"/>
      <c r="G26" s="90"/>
      <c r="H26" s="22"/>
    </row>
    <row r="27" spans="1:8" s="74" customFormat="1" ht="24" customHeight="1">
      <c r="A27" s="142" t="s">
        <v>147</v>
      </c>
      <c r="B27" s="22"/>
      <c r="C27" s="22"/>
      <c r="D27" s="22"/>
      <c r="E27" s="22"/>
      <c r="F27" s="90"/>
      <c r="G27" s="90"/>
      <c r="H27" s="22"/>
    </row>
  </sheetData>
  <mergeCells count="1">
    <mergeCell ref="A1:I1"/>
  </mergeCells>
  <printOptions horizontalCentered="1"/>
  <pageMargins left="1.25" right="0" top="0.5" bottom="0" header="0" footer="0"/>
  <pageSetup horizontalDpi="300" verticalDpi="300" orientation="landscape" paperSize="9"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P39"/>
  <sheetViews>
    <sheetView zoomScale="80" zoomScaleNormal="80" workbookViewId="0" topLeftCell="A27">
      <selection activeCell="H39" sqref="H39"/>
    </sheetView>
  </sheetViews>
  <sheetFormatPr defaultColWidth="8.796875" defaultRowHeight="15"/>
  <cols>
    <col min="1" max="1" width="4.3984375" style="76" customWidth="1"/>
    <col min="2" max="2" width="28.19921875" style="76" customWidth="1"/>
    <col min="3" max="3" width="11" style="297" bestFit="1" customWidth="1"/>
    <col min="4" max="4" width="16.3984375" style="77" customWidth="1"/>
    <col min="5" max="5" width="15.8984375" style="77" customWidth="1"/>
    <col min="6" max="6" width="11.19921875" style="77" hidden="1" customWidth="1"/>
    <col min="7" max="7" width="11.69921875" style="77" hidden="1" customWidth="1"/>
    <col min="8" max="8" width="13.3984375" style="77" customWidth="1"/>
    <col min="9" max="9" width="14.5" style="77" customWidth="1"/>
    <col min="10" max="10" width="7.8984375" style="77" hidden="1" customWidth="1"/>
    <col min="11" max="11" width="7.59765625" style="77" hidden="1" customWidth="1"/>
    <col min="12" max="12" width="16.5" style="77" customWidth="1"/>
    <col min="13" max="13" width="14.8984375" style="77" customWidth="1"/>
    <col min="14" max="14" width="16.19921875" style="77" customWidth="1"/>
    <col min="15" max="15" width="16" style="77" hidden="1" customWidth="1"/>
    <col min="16" max="16" width="17.59765625" style="77" hidden="1" customWidth="1"/>
    <col min="17" max="16384" width="9" style="76" customWidth="1"/>
  </cols>
  <sheetData>
    <row r="1" spans="1:14" ht="15">
      <c r="A1" s="188" t="s">
        <v>448</v>
      </c>
      <c r="N1" s="195" t="s">
        <v>976</v>
      </c>
    </row>
    <row r="2" spans="1:12" ht="23.25" customHeight="1">
      <c r="A2" s="178" t="s">
        <v>405</v>
      </c>
      <c r="L2" s="298"/>
    </row>
    <row r="3" spans="1:16" ht="23.25">
      <c r="A3" s="299" t="s">
        <v>544</v>
      </c>
      <c r="B3" s="189"/>
      <c r="C3" s="300"/>
      <c r="D3" s="196"/>
      <c r="E3" s="196"/>
      <c r="F3" s="196"/>
      <c r="G3" s="196"/>
      <c r="H3" s="196"/>
      <c r="I3" s="196"/>
      <c r="J3" s="196"/>
      <c r="K3" s="196"/>
      <c r="L3" s="196"/>
      <c r="M3" s="196"/>
      <c r="N3" s="196"/>
      <c r="O3" s="386" t="s">
        <v>506</v>
      </c>
      <c r="P3" s="386"/>
    </row>
    <row r="4" spans="1:16" ht="15.75">
      <c r="A4" s="389" t="s">
        <v>410</v>
      </c>
      <c r="B4" s="180" t="s">
        <v>202</v>
      </c>
      <c r="C4" s="389" t="s">
        <v>606</v>
      </c>
      <c r="D4" s="392" t="s">
        <v>204</v>
      </c>
      <c r="E4" s="393"/>
      <c r="F4" s="393"/>
      <c r="G4" s="394"/>
      <c r="H4" s="302" t="s">
        <v>411</v>
      </c>
      <c r="I4" s="302" t="s">
        <v>411</v>
      </c>
      <c r="J4" s="387" t="s">
        <v>431</v>
      </c>
      <c r="K4" s="388"/>
      <c r="L4" s="302" t="s">
        <v>434</v>
      </c>
      <c r="M4" s="302" t="s">
        <v>436</v>
      </c>
      <c r="N4" s="302" t="s">
        <v>259</v>
      </c>
      <c r="O4" s="301" t="s">
        <v>204</v>
      </c>
      <c r="P4" s="302" t="s">
        <v>434</v>
      </c>
    </row>
    <row r="5" spans="1:16" ht="15.75">
      <c r="A5" s="390"/>
      <c r="B5" s="190" t="s">
        <v>209</v>
      </c>
      <c r="C5" s="390"/>
      <c r="D5" s="384" t="s">
        <v>203</v>
      </c>
      <c r="E5" s="305" t="s">
        <v>201</v>
      </c>
      <c r="F5" s="306" t="s">
        <v>205</v>
      </c>
      <c r="G5" s="305" t="s">
        <v>207</v>
      </c>
      <c r="H5" s="305" t="s">
        <v>412</v>
      </c>
      <c r="I5" s="305" t="s">
        <v>413</v>
      </c>
      <c r="J5" s="303"/>
      <c r="K5" s="304"/>
      <c r="L5" s="305" t="s">
        <v>435</v>
      </c>
      <c r="M5" s="305" t="s">
        <v>437</v>
      </c>
      <c r="N5" s="305" t="s">
        <v>260</v>
      </c>
      <c r="O5" s="384" t="s">
        <v>203</v>
      </c>
      <c r="P5" s="305" t="s">
        <v>435</v>
      </c>
    </row>
    <row r="6" spans="1:16" ht="15.75">
      <c r="A6" s="391"/>
      <c r="B6" s="182"/>
      <c r="C6" s="391"/>
      <c r="D6" s="385"/>
      <c r="E6" s="307" t="s">
        <v>202</v>
      </c>
      <c r="F6" s="308" t="s">
        <v>206</v>
      </c>
      <c r="G6" s="307" t="s">
        <v>208</v>
      </c>
      <c r="H6" s="307"/>
      <c r="I6" s="307"/>
      <c r="J6" s="309" t="s">
        <v>432</v>
      </c>
      <c r="K6" s="309" t="s">
        <v>433</v>
      </c>
      <c r="L6" s="307"/>
      <c r="M6" s="307"/>
      <c r="N6" s="307" t="s">
        <v>261</v>
      </c>
      <c r="O6" s="385"/>
      <c r="P6" s="307"/>
    </row>
    <row r="7" spans="1:16" ht="19.5" customHeight="1">
      <c r="A7" s="154" t="s">
        <v>414</v>
      </c>
      <c r="B7" s="146" t="s">
        <v>512</v>
      </c>
      <c r="C7" s="155"/>
      <c r="D7" s="156">
        <f aca="true" t="shared" si="0" ref="D7:K7">D8+D20+D23+D25+D24+D26+D27+D28+D29</f>
        <v>289590961057</v>
      </c>
      <c r="E7" s="156">
        <f t="shared" si="0"/>
        <v>289590961057</v>
      </c>
      <c r="F7" s="156">
        <f t="shared" si="0"/>
        <v>0</v>
      </c>
      <c r="G7" s="156">
        <f t="shared" si="0"/>
        <v>0</v>
      </c>
      <c r="H7" s="156">
        <f t="shared" si="0"/>
        <v>4219060243</v>
      </c>
      <c r="I7" s="156">
        <f t="shared" si="0"/>
        <v>21288501386</v>
      </c>
      <c r="J7" s="156">
        <f t="shared" si="0"/>
        <v>0</v>
      </c>
      <c r="K7" s="156">
        <f t="shared" si="0"/>
        <v>0</v>
      </c>
      <c r="L7" s="156">
        <f>L8+L20+L23+L25+L24+L26+L27+L28+L29</f>
        <v>440322546108</v>
      </c>
      <c r="M7" s="156">
        <f>M8+M20+M23+M25+M24+M26+M27+M28+M29</f>
        <v>13613661336</v>
      </c>
      <c r="N7" s="156">
        <f>N8+N20+N23+N25+N24+N26+N27+N28+N29</f>
        <v>125224023422</v>
      </c>
      <c r="O7" s="156">
        <f>O8+O20+O23+O25+O24+O26+O27+O28+O29</f>
        <v>342185404242</v>
      </c>
      <c r="P7" s="156">
        <f>P8+P20+P23+P25+P24+P26+P27+P28+P29</f>
        <v>548834441151</v>
      </c>
    </row>
    <row r="8" spans="1:16" s="191" customFormat="1" ht="19.5" customHeight="1">
      <c r="A8" s="192">
        <v>1</v>
      </c>
      <c r="B8" s="193" t="s">
        <v>1105</v>
      </c>
      <c r="C8" s="296">
        <f>C9+C12+C15</f>
        <v>13013.154999999999</v>
      </c>
      <c r="D8" s="295">
        <f>D9+D12+D15+D19</f>
        <v>268793320884</v>
      </c>
      <c r="E8" s="295">
        <f aca="true" t="shared" si="1" ref="E8:P8">E9+E12+E15+E19</f>
        <v>268793320884</v>
      </c>
      <c r="F8" s="295">
        <f t="shared" si="1"/>
        <v>0</v>
      </c>
      <c r="G8" s="295">
        <f t="shared" si="1"/>
        <v>0</v>
      </c>
      <c r="H8" s="295">
        <f t="shared" si="1"/>
        <v>4219060243</v>
      </c>
      <c r="I8" s="295">
        <f t="shared" si="1"/>
        <v>21288501386</v>
      </c>
      <c r="J8" s="295">
        <f t="shared" si="1"/>
        <v>0</v>
      </c>
      <c r="K8" s="295">
        <f t="shared" si="1"/>
        <v>0</v>
      </c>
      <c r="L8" s="295">
        <f t="shared" si="1"/>
        <v>418974124053</v>
      </c>
      <c r="M8" s="295">
        <f t="shared" si="1"/>
        <v>12053161075</v>
      </c>
      <c r="N8" s="295">
        <f t="shared" si="1"/>
        <v>124673241540</v>
      </c>
      <c r="O8" s="295">
        <f t="shared" si="1"/>
        <v>315789823597</v>
      </c>
      <c r="P8" s="295">
        <f t="shared" si="1"/>
        <v>522268751810</v>
      </c>
    </row>
    <row r="9" spans="1:16" ht="19.5" customHeight="1">
      <c r="A9" s="157" t="s">
        <v>969</v>
      </c>
      <c r="B9" s="147" t="s">
        <v>1108</v>
      </c>
      <c r="C9" s="292">
        <f>SUM(C10:C11)</f>
        <v>3576.84</v>
      </c>
      <c r="D9" s="291">
        <f>SUM(D10:D11)</f>
        <v>77402360940</v>
      </c>
      <c r="E9" s="291">
        <f>SUM(E10:E11)</f>
        <v>77402360940</v>
      </c>
      <c r="F9" s="291"/>
      <c r="G9" s="291">
        <f aca="true" t="shared" si="2" ref="G9:P9">SUM(G10:G11)</f>
        <v>0</v>
      </c>
      <c r="H9" s="291">
        <f t="shared" si="2"/>
        <v>1286788934</v>
      </c>
      <c r="I9" s="291">
        <f t="shared" si="2"/>
        <v>5851429826</v>
      </c>
      <c r="J9" s="291">
        <f t="shared" si="2"/>
        <v>0</v>
      </c>
      <c r="K9" s="291">
        <f t="shared" si="2"/>
        <v>0</v>
      </c>
      <c r="L9" s="291">
        <f t="shared" si="2"/>
        <v>119772034067</v>
      </c>
      <c r="M9" s="291">
        <f t="shared" si="2"/>
        <v>0</v>
      </c>
      <c r="N9" s="291">
        <f t="shared" si="2"/>
        <v>35231454367</v>
      </c>
      <c r="O9" s="291">
        <f t="shared" si="2"/>
        <v>105080207204</v>
      </c>
      <c r="P9" s="291">
        <f t="shared" si="2"/>
        <v>197516355727</v>
      </c>
    </row>
    <row r="10" spans="1:14" ht="19.5" customHeight="1" hidden="1">
      <c r="A10" s="75"/>
      <c r="B10" s="75" t="s">
        <v>429</v>
      </c>
      <c r="C10" s="293">
        <v>0</v>
      </c>
      <c r="D10" s="294">
        <f>E10+F10+G10</f>
        <v>0</v>
      </c>
      <c r="E10" s="70">
        <f>ROUND(0/($C$10+$C$13+$C$16)*C10,0)</f>
        <v>0</v>
      </c>
      <c r="F10" s="70"/>
      <c r="G10" s="70">
        <f>ROUND(87457909/($C$9+$C$12+$C$15)*C10,0)</f>
        <v>0</v>
      </c>
      <c r="H10" s="70">
        <f>ROUND(280350698/($C$10+$C$13+$C$16)*C10,0)</f>
        <v>0</v>
      </c>
      <c r="I10" s="70">
        <f>ROUND(1140773488/($C$10+$C$13+$C$16)*C10,0)</f>
        <v>0</v>
      </c>
      <c r="J10" s="70"/>
      <c r="K10" s="70"/>
      <c r="L10" s="70">
        <v>0</v>
      </c>
      <c r="M10" s="70">
        <v>0</v>
      </c>
      <c r="N10" s="70">
        <f>L10-D10-H10-I10</f>
        <v>0</v>
      </c>
    </row>
    <row r="11" spans="1:16" ht="19.5" customHeight="1">
      <c r="A11" s="75"/>
      <c r="B11" s="75" t="s">
        <v>781</v>
      </c>
      <c r="C11" s="293">
        <v>3576.84</v>
      </c>
      <c r="D11" s="294">
        <f>E11+F11+G11</f>
        <v>77402360940</v>
      </c>
      <c r="E11" s="70">
        <f>ROUND(176542016913/($C$11+$C$14+$C$17)*C11,0)</f>
        <v>77402360940</v>
      </c>
      <c r="F11" s="70"/>
      <c r="G11" s="70">
        <f>ROUND(0/($C$9+$C$12+$C$15)*C11,0)</f>
        <v>0</v>
      </c>
      <c r="H11" s="70">
        <f>ROUND(2934953288/($C$11+$C$14+$C$17)*C11,0)</f>
        <v>1286788934</v>
      </c>
      <c r="I11" s="70">
        <f>ROUND(13346146174/($C$11+$C$14+$C$17)*C11,0)</f>
        <v>5851429826</v>
      </c>
      <c r="J11" s="70"/>
      <c r="K11" s="70"/>
      <c r="L11" s="70">
        <v>119772034067</v>
      </c>
      <c r="M11" s="70">
        <v>0</v>
      </c>
      <c r="N11" s="70">
        <f>L11-D11-H11-I11</f>
        <v>35231454367</v>
      </c>
      <c r="O11" s="77">
        <v>105080207204</v>
      </c>
      <c r="P11" s="77">
        <v>197516355727</v>
      </c>
    </row>
    <row r="12" spans="1:16" ht="19.5" customHeight="1">
      <c r="A12" s="157" t="s">
        <v>970</v>
      </c>
      <c r="B12" s="147" t="s">
        <v>428</v>
      </c>
      <c r="C12" s="292">
        <f>SUM(C13:C14)</f>
        <v>1879.92</v>
      </c>
      <c r="D12" s="291">
        <f>SUM(D13:D14)</f>
        <v>40769382931</v>
      </c>
      <c r="E12" s="291">
        <f>SUM(E13:E14)</f>
        <v>40769382931</v>
      </c>
      <c r="F12" s="291"/>
      <c r="G12" s="291">
        <f aca="true" t="shared" si="3" ref="G12:P12">SUM(G13:G14)</f>
        <v>0</v>
      </c>
      <c r="H12" s="291">
        <f t="shared" si="3"/>
        <v>676312123</v>
      </c>
      <c r="I12" s="291">
        <f t="shared" si="3"/>
        <v>3075401739</v>
      </c>
      <c r="J12" s="291">
        <f t="shared" si="3"/>
        <v>0</v>
      </c>
      <c r="K12" s="291">
        <f t="shared" si="3"/>
        <v>0</v>
      </c>
      <c r="L12" s="291">
        <f t="shared" si="3"/>
        <v>58138868486</v>
      </c>
      <c r="M12" s="291">
        <f t="shared" si="3"/>
        <v>0</v>
      </c>
      <c r="N12" s="291">
        <f t="shared" si="3"/>
        <v>13617771693</v>
      </c>
      <c r="O12" s="291">
        <f t="shared" si="3"/>
        <v>44326961103</v>
      </c>
      <c r="P12" s="291">
        <f t="shared" si="3"/>
        <v>75868971112</v>
      </c>
    </row>
    <row r="13" spans="1:16" ht="19.5" customHeight="1">
      <c r="A13" s="75"/>
      <c r="B13" s="75" t="s">
        <v>429</v>
      </c>
      <c r="C13" s="293">
        <v>725.76</v>
      </c>
      <c r="D13" s="294">
        <f>E13+F13+G13</f>
        <v>15793507884</v>
      </c>
      <c r="E13" s="70">
        <f>ROUND(77674589586/($C$10+$C$13+$C$16)*C13,0)</f>
        <v>15793507884</v>
      </c>
      <c r="F13" s="70"/>
      <c r="G13" s="70">
        <f>ROUND(0/($C$9+$C$12+$C$15)*C13,0)</f>
        <v>0</v>
      </c>
      <c r="H13" s="70">
        <f>ROUND(1284106955/($C$10+$C$13+$C$16)*C13,0)</f>
        <v>261096369</v>
      </c>
      <c r="I13" s="70">
        <f>ROUND(5839234030/($C$10+$C$13+$C$16)*C13,0)</f>
        <v>1187286462</v>
      </c>
      <c r="J13" s="70"/>
      <c r="K13" s="70"/>
      <c r="L13" s="70">
        <v>21382150206</v>
      </c>
      <c r="M13" s="70">
        <v>0</v>
      </c>
      <c r="N13" s="70">
        <f>L13-D13-H13-I13</f>
        <v>4140259491</v>
      </c>
      <c r="O13" s="77">
        <v>14642489430</v>
      </c>
      <c r="P13" s="77">
        <v>23848148016</v>
      </c>
    </row>
    <row r="14" spans="1:16" ht="19.5" customHeight="1">
      <c r="A14" s="75"/>
      <c r="B14" s="75" t="s">
        <v>781</v>
      </c>
      <c r="C14" s="293">
        <v>1154.16</v>
      </c>
      <c r="D14" s="294">
        <f>E14+F14+G14</f>
        <v>24975875047</v>
      </c>
      <c r="E14" s="70">
        <f>ROUND(176542016913/($C$11+$C$14+$C$17)*C14,0)</f>
        <v>24975875047</v>
      </c>
      <c r="F14" s="70"/>
      <c r="G14" s="70">
        <f>ROUND(0/($C$9+$C$12+$C$15)*C14,0)</f>
        <v>0</v>
      </c>
      <c r="H14" s="70">
        <f>ROUND(2934953288/($C$11+$C$14+$C$17)*C14,0)</f>
        <v>415215754</v>
      </c>
      <c r="I14" s="70">
        <f>ROUND(13346146174/($C$11+$C$14+$C$17)*C14,0)</f>
        <v>1888115277</v>
      </c>
      <c r="J14" s="70"/>
      <c r="K14" s="70"/>
      <c r="L14" s="70">
        <v>36756718280</v>
      </c>
      <c r="M14" s="70">
        <v>0</v>
      </c>
      <c r="N14" s="70">
        <f>L14-D14-H14-I14</f>
        <v>9477512202</v>
      </c>
      <c r="O14" s="77">
        <v>29684471673</v>
      </c>
      <c r="P14" s="77">
        <v>52020823096</v>
      </c>
    </row>
    <row r="15" spans="1:16" ht="19.5" customHeight="1">
      <c r="A15" s="157" t="s">
        <v>971</v>
      </c>
      <c r="B15" s="147" t="s">
        <v>430</v>
      </c>
      <c r="C15" s="292">
        <f>SUM(C16:C18)</f>
        <v>7556.3949999999995</v>
      </c>
      <c r="D15" s="291">
        <f>SUM(D16:D18)</f>
        <v>150621577013</v>
      </c>
      <c r="E15" s="291">
        <f>SUM(E16:E18)</f>
        <v>150621577013</v>
      </c>
      <c r="F15" s="291"/>
      <c r="G15" s="291">
        <f>SUM(G16:G18)</f>
        <v>0</v>
      </c>
      <c r="H15" s="291">
        <f aca="true" t="shared" si="4" ref="H15:P15">SUM(H16:H18)</f>
        <v>2255959186</v>
      </c>
      <c r="I15" s="291">
        <f t="shared" si="4"/>
        <v>12361669821</v>
      </c>
      <c r="J15" s="291">
        <f t="shared" si="4"/>
        <v>0</v>
      </c>
      <c r="K15" s="291">
        <f t="shared" si="4"/>
        <v>0</v>
      </c>
      <c r="L15" s="291">
        <f t="shared" si="4"/>
        <v>241063221500</v>
      </c>
      <c r="M15" s="291">
        <f t="shared" si="4"/>
        <v>12053161075</v>
      </c>
      <c r="N15" s="291">
        <f t="shared" si="4"/>
        <v>75824015480</v>
      </c>
      <c r="O15" s="291">
        <f t="shared" si="4"/>
        <v>165397952592</v>
      </c>
      <c r="P15" s="291">
        <f t="shared" si="4"/>
        <v>248883424971</v>
      </c>
    </row>
    <row r="16" spans="1:16" ht="19.5" customHeight="1">
      <c r="A16" s="75"/>
      <c r="B16" s="75" t="s">
        <v>429</v>
      </c>
      <c r="C16" s="293">
        <v>2843.625</v>
      </c>
      <c r="D16" s="294">
        <f>E16+F16+G16</f>
        <v>61881081702</v>
      </c>
      <c r="E16" s="70">
        <f>ROUND(77674589586/($C$10+$C$13+$C$16)*C16,0)</f>
        <v>61881081702</v>
      </c>
      <c r="F16" s="70"/>
      <c r="G16" s="70">
        <f>ROUND(0/($C$9+$C$12+$C$15)*C16,0)</f>
        <v>0</v>
      </c>
      <c r="H16" s="70">
        <f>ROUND(1284106955/($C$10+$C$13+$C$16)*C16,0)</f>
        <v>1023010586</v>
      </c>
      <c r="I16" s="70">
        <f>ROUND(5839234030/($C$10+$C$13+$C$16)*C16,0)</f>
        <v>4651947568</v>
      </c>
      <c r="J16" s="70"/>
      <c r="K16" s="70"/>
      <c r="L16" s="70">
        <v>89649869500</v>
      </c>
      <c r="M16" s="70">
        <f>ROUND(L16*5%,0)</f>
        <v>4482493475</v>
      </c>
      <c r="N16" s="70">
        <f>L16-D16-H16-I16</f>
        <v>22093829644</v>
      </c>
      <c r="O16" s="77">
        <v>63474876944</v>
      </c>
      <c r="P16" s="77">
        <v>90903562400</v>
      </c>
    </row>
    <row r="17" spans="1:16" ht="19.5" customHeight="1">
      <c r="A17" s="75"/>
      <c r="B17" s="75" t="s">
        <v>780</v>
      </c>
      <c r="C17" s="293">
        <v>3427.182</v>
      </c>
      <c r="D17" s="294">
        <f>E17+F17+G17</f>
        <v>74163780926</v>
      </c>
      <c r="E17" s="70">
        <f>ROUND(176542016913/($C$11+$C$14+$C$17)*C17,0)-1</f>
        <v>74163780926</v>
      </c>
      <c r="F17" s="70"/>
      <c r="G17" s="70">
        <f>ROUND(0/($C$9+$C$12+$C$15)*C17,0)</f>
        <v>0</v>
      </c>
      <c r="H17" s="70">
        <f>ROUND(2934953288/($C$11+$C$14+$C$17)*C17,0)</f>
        <v>1232948600</v>
      </c>
      <c r="I17" s="70">
        <f>ROUND(13346146174/($C$11+$C$14+$C$17)*C17,0)</f>
        <v>5606601071</v>
      </c>
      <c r="J17" s="70"/>
      <c r="K17" s="70"/>
      <c r="L17" s="70">
        <v>125718502000</v>
      </c>
      <c r="M17" s="70">
        <f>ROUND(L17*5%,0)</f>
        <v>6285925100</v>
      </c>
      <c r="N17" s="70">
        <f>L17-D17-H17-I17</f>
        <v>44715171403</v>
      </c>
      <c r="O17" s="77">
        <v>84895757350</v>
      </c>
      <c r="P17" s="77">
        <v>124400069000</v>
      </c>
    </row>
    <row r="18" spans="1:16" ht="19.5" customHeight="1">
      <c r="A18" s="75"/>
      <c r="B18" s="75" t="s">
        <v>782</v>
      </c>
      <c r="C18" s="293">
        <f>951.05+334.538</f>
        <v>1285.588</v>
      </c>
      <c r="D18" s="294">
        <f>E18+F18+G18</f>
        <v>14576714385</v>
      </c>
      <c r="E18" s="70">
        <v>14576714385</v>
      </c>
      <c r="F18" s="70"/>
      <c r="G18" s="70">
        <f>ROUND(0/($C$9+$C$12+$C$15)*C18,0)</f>
        <v>0</v>
      </c>
      <c r="H18" s="70">
        <v>0</v>
      </c>
      <c r="I18" s="70">
        <v>2103121182</v>
      </c>
      <c r="J18" s="70"/>
      <c r="K18" s="70"/>
      <c r="L18" s="70">
        <f>20609900000+5084950000</f>
        <v>25694850000</v>
      </c>
      <c r="M18" s="70">
        <f>ROUND(L18*5%,0)</f>
        <v>1284742500</v>
      </c>
      <c r="N18" s="70">
        <f>L18-D18-H18-I18</f>
        <v>9015014433</v>
      </c>
      <c r="O18" s="77">
        <v>17027318298</v>
      </c>
      <c r="P18" s="77">
        <v>33579793571</v>
      </c>
    </row>
    <row r="19" spans="1:16" s="179" customFormat="1" ht="19.5" customHeight="1">
      <c r="A19" s="157" t="s">
        <v>268</v>
      </c>
      <c r="B19" s="147" t="s">
        <v>269</v>
      </c>
      <c r="C19" s="292"/>
      <c r="D19" s="291">
        <f>E19+F19+G19</f>
        <v>0</v>
      </c>
      <c r="E19" s="71">
        <v>0</v>
      </c>
      <c r="F19" s="71"/>
      <c r="G19" s="71"/>
      <c r="H19" s="71">
        <v>0</v>
      </c>
      <c r="I19" s="71">
        <v>0</v>
      </c>
      <c r="J19" s="71"/>
      <c r="K19" s="71"/>
      <c r="L19" s="71">
        <v>0</v>
      </c>
      <c r="M19" s="71">
        <v>0</v>
      </c>
      <c r="N19" s="71">
        <f>L19-D19-H19-I19</f>
        <v>0</v>
      </c>
      <c r="O19" s="174">
        <v>984702698</v>
      </c>
      <c r="P19" s="174"/>
    </row>
    <row r="20" spans="1:16" ht="19.5" customHeight="1">
      <c r="A20" s="157">
        <v>2</v>
      </c>
      <c r="B20" s="147" t="s">
        <v>1106</v>
      </c>
      <c r="C20" s="292">
        <f>SUM(C21:C22)</f>
        <v>81.654</v>
      </c>
      <c r="D20" s="291">
        <f>SUM(D21:D22)</f>
        <v>1969097479</v>
      </c>
      <c r="E20" s="291">
        <f aca="true" t="shared" si="5" ref="E20:P20">SUM(E21:E22)</f>
        <v>1969097479</v>
      </c>
      <c r="F20" s="291">
        <f t="shared" si="5"/>
        <v>0</v>
      </c>
      <c r="G20" s="291">
        <f t="shared" si="5"/>
        <v>0</v>
      </c>
      <c r="H20" s="291">
        <f t="shared" si="5"/>
        <v>0</v>
      </c>
      <c r="I20" s="291">
        <f t="shared" si="5"/>
        <v>0</v>
      </c>
      <c r="J20" s="291">
        <f t="shared" si="5"/>
        <v>0</v>
      </c>
      <c r="K20" s="291">
        <f t="shared" si="5"/>
        <v>0</v>
      </c>
      <c r="L20" s="291">
        <f t="shared" si="5"/>
        <v>2048695500</v>
      </c>
      <c r="M20" s="291">
        <f t="shared" si="5"/>
        <v>102434775</v>
      </c>
      <c r="N20" s="291">
        <f t="shared" si="5"/>
        <v>79598021</v>
      </c>
      <c r="O20" s="291">
        <f t="shared" si="5"/>
        <v>7272863</v>
      </c>
      <c r="P20" s="291">
        <f t="shared" si="5"/>
        <v>10404000</v>
      </c>
    </row>
    <row r="21" spans="1:16" ht="19.5" customHeight="1">
      <c r="A21" s="75"/>
      <c r="B21" s="75" t="s">
        <v>852</v>
      </c>
      <c r="C21" s="293">
        <f>0.117+6.895+0.014</f>
        <v>7.026</v>
      </c>
      <c r="D21" s="70">
        <f aca="true" t="shared" si="6" ref="D21:D31">E21+F21+G21</f>
        <v>146836479</v>
      </c>
      <c r="E21" s="70">
        <v>146836479</v>
      </c>
      <c r="F21" s="70"/>
      <c r="G21" s="70"/>
      <c r="H21" s="70">
        <v>0</v>
      </c>
      <c r="I21" s="70">
        <v>0</v>
      </c>
      <c r="J21" s="70"/>
      <c r="K21" s="70"/>
      <c r="L21" s="70">
        <f>2574000+83475000+88900000+350000</f>
        <v>175299000</v>
      </c>
      <c r="M21" s="70">
        <f>ROUND(L21*5%,0)</f>
        <v>8764950</v>
      </c>
      <c r="N21" s="294">
        <f aca="true" t="shared" si="7" ref="N21:N31">L21-D21-H21-I21</f>
        <v>28462521</v>
      </c>
      <c r="O21" s="77">
        <v>6745070</v>
      </c>
      <c r="P21" s="77">
        <v>10404000</v>
      </c>
    </row>
    <row r="22" spans="1:15" ht="19.5" customHeight="1">
      <c r="A22" s="75"/>
      <c r="B22" s="75" t="s">
        <v>853</v>
      </c>
      <c r="C22" s="293">
        <f>38.675+35.953</f>
        <v>74.628</v>
      </c>
      <c r="D22" s="70">
        <f t="shared" si="6"/>
        <v>1822261000</v>
      </c>
      <c r="E22" s="70">
        <f>941412500+880848500</f>
        <v>1822261000</v>
      </c>
      <c r="F22" s="70"/>
      <c r="G22" s="70"/>
      <c r="H22" s="70">
        <v>0</v>
      </c>
      <c r="I22" s="70">
        <v>0</v>
      </c>
      <c r="J22" s="70"/>
      <c r="K22" s="70"/>
      <c r="L22" s="70">
        <f>980087500+893309000</f>
        <v>1873396500</v>
      </c>
      <c r="M22" s="70">
        <f>ROUND(L22*5%,0)</f>
        <v>93669825</v>
      </c>
      <c r="N22" s="294">
        <f t="shared" si="7"/>
        <v>51135500</v>
      </c>
      <c r="O22" s="77">
        <v>527793</v>
      </c>
    </row>
    <row r="23" spans="1:16" ht="19.5" customHeight="1">
      <c r="A23" s="157">
        <v>3</v>
      </c>
      <c r="B23" s="147" t="s">
        <v>1107</v>
      </c>
      <c r="C23" s="292">
        <v>5166.888</v>
      </c>
      <c r="D23" s="71">
        <f t="shared" si="6"/>
        <v>8639540530</v>
      </c>
      <c r="E23" s="71">
        <v>8639540530</v>
      </c>
      <c r="F23" s="71"/>
      <c r="G23" s="71"/>
      <c r="H23" s="71">
        <v>0</v>
      </c>
      <c r="I23" s="71">
        <v>0</v>
      </c>
      <c r="J23" s="71"/>
      <c r="K23" s="71"/>
      <c r="L23" s="71">
        <v>8936240143</v>
      </c>
      <c r="M23" s="71">
        <v>446811942</v>
      </c>
      <c r="N23" s="291">
        <f t="shared" si="7"/>
        <v>296699613</v>
      </c>
      <c r="O23" s="174">
        <v>4514078944</v>
      </c>
      <c r="P23" s="174">
        <v>4618414867</v>
      </c>
    </row>
    <row r="24" spans="1:16" ht="19.5" customHeight="1">
      <c r="A24" s="157">
        <v>4</v>
      </c>
      <c r="B24" s="147" t="s">
        <v>543</v>
      </c>
      <c r="C24" s="292"/>
      <c r="D24" s="71">
        <f t="shared" si="6"/>
        <v>175968795</v>
      </c>
      <c r="E24" s="71">
        <f>4494121+171474674</f>
        <v>175968795</v>
      </c>
      <c r="F24" s="71"/>
      <c r="G24" s="71"/>
      <c r="H24" s="71">
        <v>0</v>
      </c>
      <c r="I24" s="71">
        <v>0</v>
      </c>
      <c r="J24" s="71"/>
      <c r="K24" s="71"/>
      <c r="L24" s="71">
        <f>4743636+181127727</f>
        <v>185871363</v>
      </c>
      <c r="M24" s="71">
        <f>ROUND(L24*10%,0)+1</f>
        <v>18587137</v>
      </c>
      <c r="N24" s="291">
        <f t="shared" si="7"/>
        <v>9902568</v>
      </c>
      <c r="O24" s="174">
        <v>685652290</v>
      </c>
      <c r="P24" s="174">
        <v>649257674</v>
      </c>
    </row>
    <row r="25" spans="1:16" ht="19.5" customHeight="1">
      <c r="A25" s="157">
        <v>5</v>
      </c>
      <c r="B25" s="147" t="s">
        <v>1109</v>
      </c>
      <c r="C25" s="78"/>
      <c r="D25" s="71">
        <f t="shared" si="6"/>
        <v>45454545</v>
      </c>
      <c r="E25" s="71">
        <v>45454545</v>
      </c>
      <c r="F25" s="70"/>
      <c r="G25" s="70"/>
      <c r="H25" s="71">
        <v>0</v>
      </c>
      <c r="I25" s="71">
        <v>0</v>
      </c>
      <c r="J25" s="70"/>
      <c r="K25" s="70"/>
      <c r="L25" s="71">
        <v>45454545</v>
      </c>
      <c r="M25" s="71">
        <f>ROUND(L25*10%,0)</f>
        <v>4545455</v>
      </c>
      <c r="N25" s="291">
        <f t="shared" si="7"/>
        <v>0</v>
      </c>
      <c r="O25" s="174">
        <v>10062130620</v>
      </c>
      <c r="P25" s="174">
        <v>10167420000</v>
      </c>
    </row>
    <row r="26" spans="1:16" ht="19.5" customHeight="1">
      <c r="A26" s="157">
        <v>6</v>
      </c>
      <c r="B26" s="147" t="s">
        <v>1110</v>
      </c>
      <c r="C26" s="78"/>
      <c r="D26" s="71">
        <f t="shared" si="6"/>
        <v>0</v>
      </c>
      <c r="E26" s="71">
        <v>0</v>
      </c>
      <c r="F26" s="70"/>
      <c r="G26" s="70"/>
      <c r="H26" s="71">
        <v>0</v>
      </c>
      <c r="I26" s="71">
        <v>0</v>
      </c>
      <c r="J26" s="70"/>
      <c r="K26" s="70"/>
      <c r="L26" s="71">
        <v>0</v>
      </c>
      <c r="M26" s="71">
        <f>ROUND(L26*10%,0)</f>
        <v>0</v>
      </c>
      <c r="N26" s="291">
        <f t="shared" si="7"/>
        <v>0</v>
      </c>
      <c r="O26" s="174">
        <v>89396380</v>
      </c>
      <c r="P26" s="174">
        <v>92283808</v>
      </c>
    </row>
    <row r="27" spans="1:16" ht="19.5" customHeight="1">
      <c r="A27" s="157">
        <v>7</v>
      </c>
      <c r="B27" s="147" t="s">
        <v>1111</v>
      </c>
      <c r="C27" s="78"/>
      <c r="D27" s="71">
        <f t="shared" si="6"/>
        <v>427475294</v>
      </c>
      <c r="E27" s="71">
        <v>427475294</v>
      </c>
      <c r="F27" s="70"/>
      <c r="G27" s="70"/>
      <c r="H27" s="71">
        <v>0</v>
      </c>
      <c r="I27" s="71">
        <v>0</v>
      </c>
      <c r="J27" s="70"/>
      <c r="K27" s="70"/>
      <c r="L27" s="71">
        <v>427475295</v>
      </c>
      <c r="M27" s="71">
        <f>19826276+3094981-1</f>
        <v>22921256</v>
      </c>
      <c r="N27" s="291">
        <f t="shared" si="7"/>
        <v>1</v>
      </c>
      <c r="O27" s="174">
        <v>42696054</v>
      </c>
      <c r="P27" s="174">
        <v>23432421</v>
      </c>
    </row>
    <row r="28" spans="1:16" ht="19.5" customHeight="1">
      <c r="A28" s="157">
        <v>8</v>
      </c>
      <c r="B28" s="147" t="s">
        <v>116</v>
      </c>
      <c r="C28" s="78"/>
      <c r="D28" s="71">
        <f t="shared" si="6"/>
        <v>98995846</v>
      </c>
      <c r="E28" s="71">
        <v>98995846</v>
      </c>
      <c r="F28" s="70"/>
      <c r="G28" s="70"/>
      <c r="H28" s="71">
        <v>0</v>
      </c>
      <c r="I28" s="71">
        <v>0</v>
      </c>
      <c r="J28" s="70"/>
      <c r="K28" s="70"/>
      <c r="L28" s="71">
        <v>105377419</v>
      </c>
      <c r="M28" s="71">
        <v>5268921</v>
      </c>
      <c r="N28" s="291">
        <f t="shared" si="7"/>
        <v>6381573</v>
      </c>
      <c r="O28" s="174">
        <v>61983590</v>
      </c>
      <c r="P28" s="174">
        <v>72106667</v>
      </c>
    </row>
    <row r="29" spans="1:16" ht="19.5" customHeight="1">
      <c r="A29" s="157">
        <v>9</v>
      </c>
      <c r="B29" s="147" t="s">
        <v>552</v>
      </c>
      <c r="C29" s="78"/>
      <c r="D29" s="71">
        <f t="shared" si="6"/>
        <v>9441107684</v>
      </c>
      <c r="E29" s="71">
        <v>9441107684</v>
      </c>
      <c r="F29" s="70"/>
      <c r="G29" s="70"/>
      <c r="H29" s="71">
        <v>0</v>
      </c>
      <c r="I29" s="71">
        <v>0</v>
      </c>
      <c r="J29" s="70"/>
      <c r="K29" s="70"/>
      <c r="L29" s="71">
        <v>9599307790</v>
      </c>
      <c r="M29" s="71">
        <v>959930775</v>
      </c>
      <c r="N29" s="291">
        <f t="shared" si="7"/>
        <v>158200106</v>
      </c>
      <c r="O29" s="174">
        <v>10932369904</v>
      </c>
      <c r="P29" s="174">
        <v>10932369904</v>
      </c>
    </row>
    <row r="30" spans="1:16" ht="19.5" customHeight="1">
      <c r="A30" s="157" t="s">
        <v>415</v>
      </c>
      <c r="B30" s="147" t="s">
        <v>511</v>
      </c>
      <c r="C30" s="78"/>
      <c r="D30" s="71">
        <f t="shared" si="6"/>
        <v>2375181708</v>
      </c>
      <c r="E30" s="71">
        <v>2375181708</v>
      </c>
      <c r="F30" s="71">
        <v>0</v>
      </c>
      <c r="G30" s="71">
        <v>0</v>
      </c>
      <c r="H30" s="71">
        <v>0</v>
      </c>
      <c r="I30" s="71">
        <v>0</v>
      </c>
      <c r="J30" s="71" t="e">
        <f>SUM(#REF!)</f>
        <v>#REF!</v>
      </c>
      <c r="K30" s="71" t="e">
        <f>SUM(#REF!)</f>
        <v>#REF!</v>
      </c>
      <c r="L30" s="71">
        <v>14428416194</v>
      </c>
      <c r="M30" s="71">
        <v>0</v>
      </c>
      <c r="N30" s="291">
        <f t="shared" si="7"/>
        <v>12053234486</v>
      </c>
      <c r="O30" s="174">
        <v>4874400933</v>
      </c>
      <c r="P30" s="174">
        <v>25169006291</v>
      </c>
    </row>
    <row r="31" spans="1:16" ht="19.5" customHeight="1">
      <c r="A31" s="157" t="s">
        <v>416</v>
      </c>
      <c r="B31" s="147" t="s">
        <v>495</v>
      </c>
      <c r="C31" s="78"/>
      <c r="D31" s="71">
        <f t="shared" si="6"/>
        <v>11142278769</v>
      </c>
      <c r="E31" s="71">
        <v>11142278769</v>
      </c>
      <c r="F31" s="71">
        <v>0</v>
      </c>
      <c r="G31" s="71">
        <v>0</v>
      </c>
      <c r="H31" s="71">
        <v>0</v>
      </c>
      <c r="I31" s="71">
        <v>0</v>
      </c>
      <c r="J31" s="71" t="e">
        <f>SUM(#REF!)</f>
        <v>#REF!</v>
      </c>
      <c r="K31" s="71" t="e">
        <f>SUM(#REF!)</f>
        <v>#REF!</v>
      </c>
      <c r="L31" s="71">
        <v>36313809255</v>
      </c>
      <c r="M31" s="71">
        <v>34410320</v>
      </c>
      <c r="N31" s="291">
        <f t="shared" si="7"/>
        <v>25171530486</v>
      </c>
      <c r="O31" s="174">
        <v>11412988066</v>
      </c>
      <c r="P31" s="174">
        <v>16820852869</v>
      </c>
    </row>
    <row r="32" spans="1:16" ht="18" customHeight="1">
      <c r="A32" s="157"/>
      <c r="B32" s="79"/>
      <c r="C32" s="194"/>
      <c r="D32" s="72"/>
      <c r="E32" s="72"/>
      <c r="F32" s="72"/>
      <c r="G32" s="72"/>
      <c r="H32" s="72"/>
      <c r="I32" s="72"/>
      <c r="J32" s="72"/>
      <c r="K32" s="72"/>
      <c r="L32" s="72"/>
      <c r="M32" s="72"/>
      <c r="N32" s="72"/>
      <c r="O32" s="242"/>
      <c r="P32" s="242"/>
    </row>
    <row r="33" spans="1:16" ht="19.5" customHeight="1">
      <c r="A33" s="75"/>
      <c r="B33" s="192" t="s">
        <v>1112</v>
      </c>
      <c r="C33" s="310"/>
      <c r="D33" s="158">
        <f aca="true" t="shared" si="8" ref="D33:P33">D7+D30+D31</f>
        <v>303108421534</v>
      </c>
      <c r="E33" s="158">
        <f t="shared" si="8"/>
        <v>303108421534</v>
      </c>
      <c r="F33" s="158">
        <f t="shared" si="8"/>
        <v>0</v>
      </c>
      <c r="G33" s="158">
        <f t="shared" si="8"/>
        <v>0</v>
      </c>
      <c r="H33" s="158">
        <f t="shared" si="8"/>
        <v>4219060243</v>
      </c>
      <c r="I33" s="158">
        <f t="shared" si="8"/>
        <v>21288501386</v>
      </c>
      <c r="J33" s="158" t="e">
        <f t="shared" si="8"/>
        <v>#REF!</v>
      </c>
      <c r="K33" s="158" t="e">
        <f t="shared" si="8"/>
        <v>#REF!</v>
      </c>
      <c r="L33" s="158">
        <f t="shared" si="8"/>
        <v>491064771557</v>
      </c>
      <c r="M33" s="158">
        <f t="shared" si="8"/>
        <v>13648071656</v>
      </c>
      <c r="N33" s="158">
        <f t="shared" si="8"/>
        <v>162448788394</v>
      </c>
      <c r="O33" s="158">
        <f t="shared" si="8"/>
        <v>358472793241</v>
      </c>
      <c r="P33" s="158">
        <f t="shared" si="8"/>
        <v>590824300311</v>
      </c>
    </row>
    <row r="34" spans="1:14" ht="13.5" customHeight="1">
      <c r="A34" s="80"/>
      <c r="B34" s="80"/>
      <c r="C34" s="311"/>
      <c r="D34" s="187"/>
      <c r="E34" s="187"/>
      <c r="F34" s="187"/>
      <c r="G34" s="187"/>
      <c r="H34" s="187"/>
      <c r="I34" s="187"/>
      <c r="J34" s="187"/>
      <c r="K34" s="187"/>
      <c r="L34" s="187"/>
      <c r="M34" s="187"/>
      <c r="N34" s="149"/>
    </row>
    <row r="35" spans="3:14" ht="24" customHeight="1">
      <c r="C35" s="312" t="s">
        <v>417</v>
      </c>
      <c r="D35" s="175"/>
      <c r="G35" s="175" t="s">
        <v>418</v>
      </c>
      <c r="H35" s="175" t="s">
        <v>418</v>
      </c>
      <c r="I35" s="174"/>
      <c r="L35" s="174"/>
      <c r="M35" s="174" t="s">
        <v>594</v>
      </c>
      <c r="N35" s="241"/>
    </row>
    <row r="36" ht="17.25">
      <c r="N36" s="313"/>
    </row>
    <row r="37" ht="17.25">
      <c r="N37" s="372"/>
    </row>
    <row r="38" spans="2:14" ht="21">
      <c r="B38" s="314"/>
      <c r="C38" s="315"/>
      <c r="D38" s="316"/>
      <c r="N38" s="360"/>
    </row>
    <row r="39" ht="17.25">
      <c r="C39" s="134" t="s">
        <v>814</v>
      </c>
    </row>
  </sheetData>
  <mergeCells count="7">
    <mergeCell ref="O5:O6"/>
    <mergeCell ref="O3:P3"/>
    <mergeCell ref="J4:K4"/>
    <mergeCell ref="A4:A6"/>
    <mergeCell ref="C4:C6"/>
    <mergeCell ref="D5:D6"/>
    <mergeCell ref="D4:G4"/>
  </mergeCells>
  <printOptions horizontalCentered="1"/>
  <pageMargins left="1" right="0" top="0" bottom="0" header="0" footer="0"/>
  <pageSetup horizontalDpi="180" verticalDpi="18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G34"/>
  <sheetViews>
    <sheetView tabSelected="1" zoomScale="75" zoomScaleNormal="75" workbookViewId="0" topLeftCell="A1">
      <selection activeCell="D15" sqref="D15"/>
    </sheetView>
  </sheetViews>
  <sheetFormatPr defaultColWidth="8.796875" defaultRowHeight="15"/>
  <cols>
    <col min="1" max="1" width="56.69921875" style="12" customWidth="1"/>
    <col min="2" max="3" width="7" style="12" customWidth="1"/>
    <col min="4" max="4" width="18.59765625" style="12" customWidth="1"/>
    <col min="5" max="5" width="18.5" style="12" customWidth="1"/>
    <col min="6" max="6" width="18.59765625" style="12" customWidth="1"/>
    <col min="7" max="7" width="18.09765625" style="12" customWidth="1"/>
    <col min="8" max="16384" width="9" style="12" customWidth="1"/>
  </cols>
  <sheetData>
    <row r="1" spans="1:7" ht="18.75">
      <c r="A1" s="110" t="s">
        <v>448</v>
      </c>
      <c r="B1" s="110"/>
      <c r="C1" s="110"/>
      <c r="D1" s="110"/>
      <c r="E1" s="402" t="s">
        <v>50</v>
      </c>
      <c r="F1" s="402"/>
      <c r="G1" s="402"/>
    </row>
    <row r="2" spans="1:7" ht="18.75">
      <c r="A2" s="110" t="s">
        <v>303</v>
      </c>
      <c r="B2" s="110"/>
      <c r="C2" s="110"/>
      <c r="D2" s="110"/>
      <c r="E2" s="402" t="s">
        <v>47</v>
      </c>
      <c r="F2" s="402"/>
      <c r="G2" s="402"/>
    </row>
    <row r="3" spans="1:7" ht="18.75">
      <c r="A3" s="110" t="s">
        <v>48</v>
      </c>
      <c r="B3" s="110"/>
      <c r="C3" s="110"/>
      <c r="D3" s="110"/>
      <c r="E3" s="402" t="s">
        <v>45</v>
      </c>
      <c r="F3" s="402"/>
      <c r="G3" s="402"/>
    </row>
    <row r="4" spans="1:7" ht="18.75">
      <c r="A4" s="110"/>
      <c r="B4" s="110"/>
      <c r="C4" s="110"/>
      <c r="D4" s="110"/>
      <c r="E4" s="110"/>
      <c r="F4" s="247"/>
      <c r="G4" s="247"/>
    </row>
    <row r="5" spans="1:7" ht="26.25">
      <c r="A5" s="401" t="s">
        <v>600</v>
      </c>
      <c r="B5" s="401"/>
      <c r="C5" s="401"/>
      <c r="D5" s="401"/>
      <c r="E5" s="401"/>
      <c r="F5" s="401"/>
      <c r="G5" s="401"/>
    </row>
    <row r="6" spans="1:7" ht="18.75">
      <c r="A6" s="110"/>
      <c r="B6" s="110"/>
      <c r="C6" s="110"/>
      <c r="D6" s="110"/>
      <c r="E6" s="86"/>
      <c r="G6" s="246" t="s">
        <v>635</v>
      </c>
    </row>
    <row r="7" spans="1:7" ht="18">
      <c r="A7" s="397" t="s">
        <v>1036</v>
      </c>
      <c r="B7" s="397" t="s">
        <v>132</v>
      </c>
      <c r="C7" s="397" t="s">
        <v>400</v>
      </c>
      <c r="D7" s="399" t="s">
        <v>1103</v>
      </c>
      <c r="E7" s="400"/>
      <c r="F7" s="395" t="s">
        <v>1104</v>
      </c>
      <c r="G7" s="396"/>
    </row>
    <row r="8" spans="1:7" ht="18">
      <c r="A8" s="398"/>
      <c r="B8" s="398"/>
      <c r="C8" s="398"/>
      <c r="D8" s="1" t="s">
        <v>304</v>
      </c>
      <c r="E8" s="1" t="s">
        <v>305</v>
      </c>
      <c r="F8" s="337" t="s">
        <v>304</v>
      </c>
      <c r="G8" s="337" t="s">
        <v>305</v>
      </c>
    </row>
    <row r="9" spans="1:7" ht="20.25" customHeight="1">
      <c r="A9" s="3" t="s">
        <v>636</v>
      </c>
      <c r="B9" s="114" t="s">
        <v>153</v>
      </c>
      <c r="C9" s="13" t="s">
        <v>58</v>
      </c>
      <c r="D9" s="152">
        <f>E9-250839591203</f>
        <v>189482954905</v>
      </c>
      <c r="E9" s="152">
        <f>'BIEU 11-BANGTIEUTHU (R)'!L7</f>
        <v>440322546108</v>
      </c>
      <c r="F9" s="338">
        <v>170242221168</v>
      </c>
      <c r="G9" s="338">
        <v>548834441151</v>
      </c>
    </row>
    <row r="10" spans="1:7" ht="20.25" customHeight="1">
      <c r="A10" s="2" t="s">
        <v>53</v>
      </c>
      <c r="B10" s="115" t="s">
        <v>154</v>
      </c>
      <c r="C10" s="115"/>
      <c r="D10" s="8">
        <v>0</v>
      </c>
      <c r="E10" s="8">
        <v>0</v>
      </c>
      <c r="F10" s="184">
        <v>0</v>
      </c>
      <c r="G10" s="184">
        <v>0</v>
      </c>
    </row>
    <row r="11" spans="1:7" ht="20.25" customHeight="1">
      <c r="A11" s="2" t="s">
        <v>54</v>
      </c>
      <c r="B11" s="14">
        <v>10</v>
      </c>
      <c r="C11" s="14"/>
      <c r="D11" s="8">
        <f>D9-D10</f>
        <v>189482954905</v>
      </c>
      <c r="E11" s="8">
        <f>E9-E10</f>
        <v>440322546108</v>
      </c>
      <c r="F11" s="184">
        <f>F9-F10</f>
        <v>170242221168</v>
      </c>
      <c r="G11" s="184">
        <f>G9-G10</f>
        <v>548834441151</v>
      </c>
    </row>
    <row r="12" spans="1:7" ht="20.25" customHeight="1">
      <c r="A12" s="2" t="s">
        <v>637</v>
      </c>
      <c r="B12" s="14">
        <v>11</v>
      </c>
      <c r="C12" s="14" t="s">
        <v>59</v>
      </c>
      <c r="D12" s="8">
        <f>E12-160112567246</f>
        <v>129478393811</v>
      </c>
      <c r="E12" s="8">
        <f>'BIEU 11-BANGTIEUTHU (R)'!E7</f>
        <v>289590961057</v>
      </c>
      <c r="F12" s="184">
        <v>125162877219</v>
      </c>
      <c r="G12" s="184">
        <v>342185404242</v>
      </c>
    </row>
    <row r="13" spans="1:7" ht="20.25" customHeight="1">
      <c r="A13" s="2" t="s">
        <v>638</v>
      </c>
      <c r="B13" s="14">
        <v>20</v>
      </c>
      <c r="C13" s="14"/>
      <c r="D13" s="8">
        <f>D11-D12</f>
        <v>60004561094</v>
      </c>
      <c r="E13" s="8">
        <f>E11-E12</f>
        <v>150731585051</v>
      </c>
      <c r="F13" s="184">
        <f>F11-F12</f>
        <v>45079343949</v>
      </c>
      <c r="G13" s="184">
        <f>G11-G12</f>
        <v>206649036909</v>
      </c>
    </row>
    <row r="14" spans="1:7" ht="20.25" customHeight="1">
      <c r="A14" s="2" t="s">
        <v>639</v>
      </c>
      <c r="B14" s="14">
        <v>21</v>
      </c>
      <c r="C14" s="14" t="s">
        <v>61</v>
      </c>
      <c r="D14" s="8">
        <f>E14-3865538865</f>
        <v>10562877329</v>
      </c>
      <c r="E14" s="8">
        <f>'BIEU 11-BANGTIEUTHU (R)'!L30</f>
        <v>14428416194</v>
      </c>
      <c r="F14" s="184">
        <v>16935334764</v>
      </c>
      <c r="G14" s="184">
        <v>25169006291</v>
      </c>
    </row>
    <row r="15" spans="1:7" ht="20.25" customHeight="1">
      <c r="A15" s="2" t="s">
        <v>640</v>
      </c>
      <c r="B15" s="14">
        <v>22</v>
      </c>
      <c r="C15" s="14" t="s">
        <v>60</v>
      </c>
      <c r="D15" s="8">
        <f>E15-2029711696</f>
        <v>345470012</v>
      </c>
      <c r="E15" s="8">
        <f>'BIEU 11-BANGTIEUTHU (R)'!E30</f>
        <v>2375181708</v>
      </c>
      <c r="F15" s="184">
        <v>774280664</v>
      </c>
      <c r="G15" s="184">
        <v>4874400933</v>
      </c>
    </row>
    <row r="16" spans="1:7" s="76" customFormat="1" ht="20.25" customHeight="1">
      <c r="A16" s="79" t="s">
        <v>641</v>
      </c>
      <c r="B16" s="81">
        <v>23</v>
      </c>
      <c r="C16" s="81"/>
      <c r="D16" s="9">
        <f>E16-2029711696</f>
        <v>345470012</v>
      </c>
      <c r="E16" s="9">
        <f>E15</f>
        <v>2375181708</v>
      </c>
      <c r="F16" s="273">
        <v>603489275</v>
      </c>
      <c r="G16" s="273">
        <v>4326366554</v>
      </c>
    </row>
    <row r="17" spans="1:7" ht="20.25" customHeight="1">
      <c r="A17" s="2" t="s">
        <v>658</v>
      </c>
      <c r="B17" s="14">
        <v>24</v>
      </c>
      <c r="C17" s="14"/>
      <c r="D17" s="8">
        <f>E17-2168736319</f>
        <v>2050323924</v>
      </c>
      <c r="E17" s="8">
        <f>'BIEU 11-BANGTIEUTHU (R)'!H7</f>
        <v>4219060243</v>
      </c>
      <c r="F17" s="184">
        <v>2319028102</v>
      </c>
      <c r="G17" s="184">
        <v>6425319811</v>
      </c>
    </row>
    <row r="18" spans="1:7" ht="20.25" customHeight="1">
      <c r="A18" s="2" t="s">
        <v>659</v>
      </c>
      <c r="B18" s="14">
        <v>25</v>
      </c>
      <c r="C18" s="14"/>
      <c r="D18" s="8">
        <f>E18-13065913135</f>
        <v>8222588251</v>
      </c>
      <c r="E18" s="8">
        <f>'BIEU 11-BANGTIEUTHU (R)'!I7</f>
        <v>21288501386</v>
      </c>
      <c r="F18" s="184">
        <v>9447291613</v>
      </c>
      <c r="G18" s="184">
        <v>25246435276</v>
      </c>
    </row>
    <row r="19" spans="1:7" ht="20.25" customHeight="1">
      <c r="A19" s="2" t="s">
        <v>660</v>
      </c>
      <c r="B19" s="14">
        <v>30</v>
      </c>
      <c r="C19" s="14"/>
      <c r="D19" s="8">
        <f>D13+(D14-D15)-(D17+D18)</f>
        <v>59949056236</v>
      </c>
      <c r="E19" s="8">
        <f>E13+(E14-E15)-(E17+E18)</f>
        <v>137277257908</v>
      </c>
      <c r="F19" s="184">
        <f>F13+(F14-F15)-(F17+F18)</f>
        <v>49474078334</v>
      </c>
      <c r="G19" s="184">
        <f>G13+(G14-G15)-(G17+G18)</f>
        <v>195271887180</v>
      </c>
    </row>
    <row r="20" spans="1:7" ht="20.25" customHeight="1">
      <c r="A20" s="2" t="s">
        <v>661</v>
      </c>
      <c r="B20" s="14">
        <v>31</v>
      </c>
      <c r="C20" s="14"/>
      <c r="D20" s="8">
        <f>E20-23068222347</f>
        <v>13245586908</v>
      </c>
      <c r="E20" s="8">
        <f>'BIEU 11-BANGTIEUTHU (R)'!L31</f>
        <v>36313809255</v>
      </c>
      <c r="F20" s="184">
        <v>10593207137</v>
      </c>
      <c r="G20" s="184">
        <v>16820852869</v>
      </c>
    </row>
    <row r="21" spans="1:7" ht="20.25" customHeight="1">
      <c r="A21" s="2" t="s">
        <v>662</v>
      </c>
      <c r="B21" s="14">
        <v>32</v>
      </c>
      <c r="C21" s="14"/>
      <c r="D21" s="8">
        <f>E21-8680093208</f>
        <v>2462185561</v>
      </c>
      <c r="E21" s="8">
        <f>'BIEU 11-BANGTIEUTHU (R)'!E31</f>
        <v>11142278769</v>
      </c>
      <c r="F21" s="184">
        <v>5185342334</v>
      </c>
      <c r="G21" s="184">
        <v>11412988066</v>
      </c>
    </row>
    <row r="22" spans="1:7" ht="20.25" customHeight="1">
      <c r="A22" s="2" t="s">
        <v>663</v>
      </c>
      <c r="B22" s="14">
        <v>40</v>
      </c>
      <c r="C22" s="14"/>
      <c r="D22" s="8">
        <f>D20-D21</f>
        <v>10783401347</v>
      </c>
      <c r="E22" s="8">
        <f>E20-E21</f>
        <v>25171530486</v>
      </c>
      <c r="F22" s="184">
        <f>F20-F21</f>
        <v>5407864803</v>
      </c>
      <c r="G22" s="184">
        <f>G20-G21</f>
        <v>5407864803</v>
      </c>
    </row>
    <row r="23" spans="1:7" ht="20.25" customHeight="1">
      <c r="A23" s="2" t="s">
        <v>664</v>
      </c>
      <c r="B23" s="14">
        <v>50</v>
      </c>
      <c r="C23" s="14"/>
      <c r="D23" s="8">
        <f>D19+D22</f>
        <v>70732457583</v>
      </c>
      <c r="E23" s="8">
        <f>E19+E22</f>
        <v>162448788394</v>
      </c>
      <c r="F23" s="184">
        <f>F19+F22</f>
        <v>54881943137</v>
      </c>
      <c r="G23" s="184">
        <f>G19+G22</f>
        <v>200679751983</v>
      </c>
    </row>
    <row r="24" spans="1:7" ht="20.25" customHeight="1">
      <c r="A24" s="2" t="s">
        <v>306</v>
      </c>
      <c r="B24" s="14">
        <v>51</v>
      </c>
      <c r="C24" s="14" t="s">
        <v>62</v>
      </c>
      <c r="D24" s="8">
        <v>4022616136</v>
      </c>
      <c r="E24" s="8">
        <v>4022616136</v>
      </c>
      <c r="F24" s="184">
        <v>0</v>
      </c>
      <c r="G24" s="184">
        <v>0</v>
      </c>
    </row>
    <row r="25" spans="1:7" ht="20.25" customHeight="1">
      <c r="A25" s="2" t="s">
        <v>55</v>
      </c>
      <c r="B25" s="14">
        <v>52</v>
      </c>
      <c r="C25" s="14" t="s">
        <v>63</v>
      </c>
      <c r="D25" s="8">
        <v>0</v>
      </c>
      <c r="E25" s="8">
        <v>0</v>
      </c>
      <c r="F25" s="184">
        <v>0</v>
      </c>
      <c r="G25" s="184">
        <v>0</v>
      </c>
    </row>
    <row r="26" spans="1:7" ht="20.25" customHeight="1">
      <c r="A26" s="2" t="s">
        <v>56</v>
      </c>
      <c r="B26" s="14">
        <v>60</v>
      </c>
      <c r="C26" s="14"/>
      <c r="D26" s="8">
        <f>D23-D24-D25</f>
        <v>66709841447</v>
      </c>
      <c r="E26" s="8">
        <f>E23-E24-E25</f>
        <v>158426172258</v>
      </c>
      <c r="F26" s="184">
        <f>F23-F24-F25</f>
        <v>54881943137</v>
      </c>
      <c r="G26" s="184">
        <f>G23-G24-G25</f>
        <v>200679751983</v>
      </c>
    </row>
    <row r="27" spans="1:7" ht="20.25" customHeight="1">
      <c r="A27" s="148" t="s">
        <v>57</v>
      </c>
      <c r="B27" s="59">
        <v>70</v>
      </c>
      <c r="C27" s="59"/>
      <c r="D27" s="17">
        <f>D26/30000000</f>
        <v>2223.6613815666665</v>
      </c>
      <c r="E27" s="17">
        <f>E26/30000000</f>
        <v>5280.8724086</v>
      </c>
      <c r="F27" s="339">
        <f>F26/30000000</f>
        <v>1829.3981045666667</v>
      </c>
      <c r="G27" s="339">
        <f>G26/30000000</f>
        <v>6689.3250661</v>
      </c>
    </row>
    <row r="28" spans="1:7" ht="20.25" customHeight="1">
      <c r="A28" s="45"/>
      <c r="B28" s="244"/>
      <c r="C28" s="244"/>
      <c r="D28" s="173"/>
      <c r="E28" s="173"/>
      <c r="F28" s="173"/>
      <c r="G28" s="173"/>
    </row>
    <row r="29" spans="1:6" s="6" customFormat="1" ht="24" customHeight="1">
      <c r="A29" s="268" t="s">
        <v>717</v>
      </c>
      <c r="B29" s="6" t="s">
        <v>418</v>
      </c>
      <c r="C29" s="12"/>
      <c r="E29" s="268"/>
      <c r="F29" s="268" t="s">
        <v>546</v>
      </c>
    </row>
    <row r="31" spans="4:7" ht="17.25">
      <c r="D31" s="164"/>
      <c r="E31" s="164"/>
      <c r="F31" s="18"/>
      <c r="G31" s="18"/>
    </row>
    <row r="32" spans="4:7" ht="17.25">
      <c r="D32" s="164"/>
      <c r="E32" s="164"/>
      <c r="F32" s="18"/>
      <c r="G32" s="18"/>
    </row>
    <row r="33" spans="4:7" ht="17.25">
      <c r="D33" s="18"/>
      <c r="E33" s="18"/>
      <c r="F33" s="18"/>
      <c r="G33" s="256"/>
    </row>
    <row r="34" spans="1:6" ht="18">
      <c r="A34" s="267" t="s">
        <v>382</v>
      </c>
      <c r="D34" s="82"/>
      <c r="E34" s="82"/>
      <c r="F34" s="82"/>
    </row>
  </sheetData>
  <mergeCells count="9">
    <mergeCell ref="A5:G5"/>
    <mergeCell ref="E1:G1"/>
    <mergeCell ref="E2:G2"/>
    <mergeCell ref="E3:G3"/>
    <mergeCell ref="F7:G7"/>
    <mergeCell ref="A7:A8"/>
    <mergeCell ref="B7:B8"/>
    <mergeCell ref="C7:C8"/>
    <mergeCell ref="D7:E7"/>
  </mergeCells>
  <printOptions horizontalCentered="1"/>
  <pageMargins left="1" right="0" top="0.32" bottom="0" header="0" footer="0"/>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O305"/>
  <sheetViews>
    <sheetView zoomScale="75" zoomScaleNormal="75" workbookViewId="0" topLeftCell="A155">
      <selection activeCell="F276" sqref="F276"/>
    </sheetView>
  </sheetViews>
  <sheetFormatPr defaultColWidth="8.796875" defaultRowHeight="15"/>
  <cols>
    <col min="1" max="1" width="6" style="22" customWidth="1"/>
    <col min="2" max="2" width="9.09765625" style="22" customWidth="1"/>
    <col min="3" max="3" width="39.3984375" style="22" customWidth="1"/>
    <col min="4" max="4" width="16" style="22" customWidth="1"/>
    <col min="5" max="5" width="0.6953125" style="22" customWidth="1"/>
    <col min="6" max="6" width="16" style="22" customWidth="1"/>
    <col min="7" max="7" width="0.6953125" style="22" customWidth="1"/>
    <col min="8" max="8" width="16.5" style="74" customWidth="1"/>
    <col min="9" max="9" width="0.6953125" style="74" customWidth="1"/>
    <col min="10" max="10" width="16.5" style="74" customWidth="1"/>
    <col min="11" max="11" width="0.6953125" style="22" customWidth="1"/>
    <col min="12" max="12" width="16.5" style="22" customWidth="1"/>
    <col min="13" max="13" width="0.6953125" style="22" customWidth="1"/>
    <col min="14" max="14" width="16.8984375" style="22" customWidth="1"/>
    <col min="15" max="15" width="0.8984375" style="22" customWidth="1"/>
    <col min="16" max="16384" width="9" style="22" customWidth="1"/>
  </cols>
  <sheetData>
    <row r="1" spans="1:14" s="118" customFormat="1" ht="15">
      <c r="A1" s="117" t="s">
        <v>448</v>
      </c>
      <c r="H1" s="74"/>
      <c r="I1" s="74"/>
      <c r="J1" s="74"/>
      <c r="N1" s="275" t="s">
        <v>439</v>
      </c>
    </row>
    <row r="2" spans="1:10" s="118" customFormat="1" ht="15">
      <c r="A2" s="110" t="s">
        <v>405</v>
      </c>
      <c r="H2" s="74"/>
      <c r="I2" s="74"/>
      <c r="J2" s="74"/>
    </row>
    <row r="3" spans="1:15" s="118" customFormat="1" ht="23.25">
      <c r="A3" s="132" t="s">
        <v>597</v>
      </c>
      <c r="B3" s="133"/>
      <c r="C3" s="133"/>
      <c r="D3" s="133"/>
      <c r="E3" s="133"/>
      <c r="F3" s="133"/>
      <c r="G3" s="133"/>
      <c r="H3" s="290"/>
      <c r="I3" s="290"/>
      <c r="J3" s="290"/>
      <c r="K3" s="133"/>
      <c r="L3" s="133"/>
      <c r="M3" s="133"/>
      <c r="N3" s="133"/>
      <c r="O3" s="133"/>
    </row>
    <row r="4" spans="1:15" ht="18">
      <c r="A4" s="404"/>
      <c r="B4" s="404"/>
      <c r="C4" s="404"/>
      <c r="D4" s="404"/>
      <c r="E4" s="404"/>
      <c r="F4" s="404"/>
      <c r="G4" s="404"/>
      <c r="H4" s="404"/>
      <c r="I4" s="404"/>
      <c r="J4" s="404"/>
      <c r="K4" s="404"/>
      <c r="L4" s="404"/>
      <c r="M4" s="404"/>
      <c r="N4" s="404"/>
      <c r="O4" s="404"/>
    </row>
    <row r="5" spans="1:15" ht="20.25" customHeight="1">
      <c r="A5" s="405" t="s">
        <v>258</v>
      </c>
      <c r="B5" s="406"/>
      <c r="C5" s="397" t="s">
        <v>419</v>
      </c>
      <c r="D5" s="32" t="s">
        <v>35</v>
      </c>
      <c r="E5" s="33"/>
      <c r="F5" s="33"/>
      <c r="G5" s="34"/>
      <c r="H5" s="322" t="s">
        <v>36</v>
      </c>
      <c r="I5" s="323"/>
      <c r="J5" s="323"/>
      <c r="K5" s="34"/>
      <c r="L5" s="32" t="s">
        <v>37</v>
      </c>
      <c r="M5" s="35"/>
      <c r="N5" s="35"/>
      <c r="O5" s="36"/>
    </row>
    <row r="6" spans="1:15" ht="15.75">
      <c r="A6" s="69" t="s">
        <v>262</v>
      </c>
      <c r="B6" s="69" t="s">
        <v>263</v>
      </c>
      <c r="C6" s="403"/>
      <c r="D6" s="32" t="s">
        <v>38</v>
      </c>
      <c r="E6" s="36"/>
      <c r="F6" s="32" t="s">
        <v>39</v>
      </c>
      <c r="G6" s="34"/>
      <c r="H6" s="322" t="s">
        <v>38</v>
      </c>
      <c r="I6" s="324"/>
      <c r="J6" s="322" t="s">
        <v>39</v>
      </c>
      <c r="K6" s="34"/>
      <c r="L6" s="32" t="s">
        <v>38</v>
      </c>
      <c r="M6" s="36"/>
      <c r="N6" s="32" t="s">
        <v>39</v>
      </c>
      <c r="O6" s="34"/>
    </row>
    <row r="7" spans="1:15" ht="15.75">
      <c r="A7" s="37"/>
      <c r="B7" s="37"/>
      <c r="C7" s="3" t="s">
        <v>266</v>
      </c>
      <c r="D7" s="37"/>
      <c r="E7" s="38"/>
      <c r="F7" s="116"/>
      <c r="G7" s="38"/>
      <c r="H7" s="325"/>
      <c r="I7" s="326"/>
      <c r="J7" s="325"/>
      <c r="K7" s="38"/>
      <c r="L7" s="37"/>
      <c r="M7" s="38"/>
      <c r="N7" s="37"/>
      <c r="O7" s="38"/>
    </row>
    <row r="8" spans="1:15" ht="15.75">
      <c r="A8" s="40">
        <v>111</v>
      </c>
      <c r="B8" s="20"/>
      <c r="C8" s="2" t="s">
        <v>40</v>
      </c>
      <c r="D8" s="28">
        <f>SUM(D9:D11)</f>
        <v>4105047588</v>
      </c>
      <c r="E8" s="39"/>
      <c r="F8" s="20"/>
      <c r="G8" s="39"/>
      <c r="H8" s="327">
        <f>SUM(H9:H11)</f>
        <v>234617743389</v>
      </c>
      <c r="I8" s="328"/>
      <c r="J8" s="327">
        <f>SUM(J9:J11)</f>
        <v>238274462167</v>
      </c>
      <c r="K8" s="260"/>
      <c r="L8" s="327">
        <f>SUM(L9:L11)</f>
        <v>448328810</v>
      </c>
      <c r="M8" s="320"/>
      <c r="N8" s="321"/>
      <c r="O8" s="39"/>
    </row>
    <row r="9" spans="1:15" ht="15">
      <c r="A9" s="20"/>
      <c r="B9" s="42">
        <v>1111</v>
      </c>
      <c r="C9" s="15" t="s">
        <v>534</v>
      </c>
      <c r="D9" s="19">
        <v>3952666110</v>
      </c>
      <c r="E9" s="39"/>
      <c r="F9" s="20"/>
      <c r="G9" s="39"/>
      <c r="H9" s="274">
        <v>234337679451</v>
      </c>
      <c r="I9" s="320"/>
      <c r="J9" s="274">
        <v>237918136826</v>
      </c>
      <c r="K9" s="161"/>
      <c r="L9" s="274">
        <f>H9+D9-J9</f>
        <v>372208735</v>
      </c>
      <c r="M9" s="320"/>
      <c r="N9" s="321"/>
      <c r="O9" s="39"/>
    </row>
    <row r="10" spans="1:15" ht="15">
      <c r="A10" s="20"/>
      <c r="B10" s="42">
        <v>1112</v>
      </c>
      <c r="C10" s="15" t="s">
        <v>598</v>
      </c>
      <c r="D10" s="19">
        <v>152381478</v>
      </c>
      <c r="E10" s="39"/>
      <c r="F10" s="20"/>
      <c r="G10" s="39"/>
      <c r="H10" s="274">
        <v>280063938</v>
      </c>
      <c r="I10" s="320"/>
      <c r="J10" s="274">
        <v>356325341</v>
      </c>
      <c r="K10" s="161"/>
      <c r="L10" s="274">
        <f>H10+D10-J10</f>
        <v>76120075</v>
      </c>
      <c r="M10" s="320"/>
      <c r="N10" s="321"/>
      <c r="O10" s="39"/>
    </row>
    <row r="11" spans="1:15" ht="17.25" hidden="1">
      <c r="A11" s="20"/>
      <c r="B11" s="42">
        <v>1113</v>
      </c>
      <c r="C11" s="15" t="s">
        <v>535</v>
      </c>
      <c r="D11" s="19">
        <v>0</v>
      </c>
      <c r="E11" s="39"/>
      <c r="F11" s="20"/>
      <c r="G11" s="39"/>
      <c r="H11" s="274">
        <v>0</v>
      </c>
      <c r="I11" s="320"/>
      <c r="J11" s="274">
        <v>0</v>
      </c>
      <c r="K11" s="161"/>
      <c r="L11" s="274">
        <f>H11+D11-J11</f>
        <v>0</v>
      </c>
      <c r="M11" s="320"/>
      <c r="N11" s="321"/>
      <c r="O11" s="39"/>
    </row>
    <row r="12" spans="1:15" ht="15">
      <c r="A12" s="20"/>
      <c r="B12" s="20"/>
      <c r="C12" s="15"/>
      <c r="D12" s="20"/>
      <c r="E12" s="39"/>
      <c r="F12" s="20"/>
      <c r="G12" s="39"/>
      <c r="H12" s="321"/>
      <c r="I12" s="320"/>
      <c r="J12" s="321"/>
      <c r="K12" s="161"/>
      <c r="L12" s="321"/>
      <c r="M12" s="320"/>
      <c r="N12" s="321"/>
      <c r="O12" s="39"/>
    </row>
    <row r="13" spans="1:15" ht="15.75">
      <c r="A13" s="40">
        <v>112</v>
      </c>
      <c r="B13" s="20"/>
      <c r="C13" s="2" t="s">
        <v>42</v>
      </c>
      <c r="D13" s="28">
        <f>SUM(D14:D15)</f>
        <v>132857585605</v>
      </c>
      <c r="E13" s="39"/>
      <c r="F13" s="20"/>
      <c r="G13" s="39"/>
      <c r="H13" s="327">
        <f>SUM(H14:H15)</f>
        <v>1004975978449</v>
      </c>
      <c r="I13" s="328"/>
      <c r="J13" s="327">
        <f>SUM(J14:J15)</f>
        <v>908841566601</v>
      </c>
      <c r="K13" s="260"/>
      <c r="L13" s="327">
        <f>SUM(L14:L15)</f>
        <v>228991997453</v>
      </c>
      <c r="M13" s="320"/>
      <c r="N13" s="321"/>
      <c r="O13" s="39"/>
    </row>
    <row r="14" spans="1:15" ht="15.75">
      <c r="A14" s="40"/>
      <c r="B14" s="42">
        <v>1121</v>
      </c>
      <c r="C14" s="15" t="s">
        <v>534</v>
      </c>
      <c r="D14" s="19">
        <v>83923719819</v>
      </c>
      <c r="E14" s="39"/>
      <c r="F14" s="20"/>
      <c r="G14" s="39"/>
      <c r="H14" s="274">
        <v>734175436865</v>
      </c>
      <c r="I14" s="320"/>
      <c r="J14" s="274">
        <v>686179346157</v>
      </c>
      <c r="K14" s="260"/>
      <c r="L14" s="274">
        <f aca="true" t="shared" si="0" ref="L14:L36">D14+H14-J14</f>
        <v>131919810527</v>
      </c>
      <c r="M14" s="320"/>
      <c r="N14" s="321"/>
      <c r="O14" s="39"/>
    </row>
    <row r="15" spans="1:15" ht="15.75">
      <c r="A15" s="40"/>
      <c r="B15" s="42">
        <v>1122</v>
      </c>
      <c r="C15" s="15" t="s">
        <v>599</v>
      </c>
      <c r="D15" s="317">
        <v>48933865786</v>
      </c>
      <c r="E15" s="318"/>
      <c r="F15" s="319"/>
      <c r="G15" s="318"/>
      <c r="H15" s="274">
        <v>270800541584</v>
      </c>
      <c r="I15" s="320"/>
      <c r="J15" s="274">
        <v>222662220444</v>
      </c>
      <c r="K15" s="260"/>
      <c r="L15" s="274">
        <f t="shared" si="0"/>
        <v>97072186926</v>
      </c>
      <c r="M15" s="320"/>
      <c r="N15" s="321"/>
      <c r="O15" s="39"/>
    </row>
    <row r="16" spans="1:15" ht="17.25" hidden="1">
      <c r="A16" s="20"/>
      <c r="B16" s="259">
        <v>112111</v>
      </c>
      <c r="C16" s="15" t="s">
        <v>1120</v>
      </c>
      <c r="D16" s="19"/>
      <c r="E16" s="39"/>
      <c r="F16" s="20"/>
      <c r="G16" s="39"/>
      <c r="H16" s="73"/>
      <c r="I16" s="202"/>
      <c r="J16" s="73"/>
      <c r="K16" s="161"/>
      <c r="L16" s="274">
        <f t="shared" si="0"/>
        <v>0</v>
      </c>
      <c r="M16" s="320"/>
      <c r="N16" s="321"/>
      <c r="O16" s="39"/>
    </row>
    <row r="17" spans="1:15" ht="17.25" hidden="1">
      <c r="A17" s="20"/>
      <c r="B17" s="259">
        <v>112112</v>
      </c>
      <c r="C17" s="15" t="s">
        <v>1121</v>
      </c>
      <c r="D17" s="19"/>
      <c r="E17" s="39"/>
      <c r="F17" s="20"/>
      <c r="G17" s="39"/>
      <c r="H17" s="73"/>
      <c r="I17" s="202"/>
      <c r="J17" s="73"/>
      <c r="K17" s="161"/>
      <c r="L17" s="274">
        <f t="shared" si="0"/>
        <v>0</v>
      </c>
      <c r="M17" s="320"/>
      <c r="N17" s="321"/>
      <c r="O17" s="39"/>
    </row>
    <row r="18" spans="1:15" ht="17.25" hidden="1">
      <c r="A18" s="20"/>
      <c r="B18" s="259">
        <v>112113</v>
      </c>
      <c r="C18" s="15" t="s">
        <v>775</v>
      </c>
      <c r="D18" s="19"/>
      <c r="E18" s="39"/>
      <c r="F18" s="20"/>
      <c r="G18" s="39"/>
      <c r="H18" s="73"/>
      <c r="I18" s="202"/>
      <c r="J18" s="73"/>
      <c r="K18" s="161"/>
      <c r="L18" s="274">
        <f t="shared" si="0"/>
        <v>0</v>
      </c>
      <c r="M18" s="320"/>
      <c r="N18" s="321"/>
      <c r="O18" s="39"/>
    </row>
    <row r="19" spans="1:15" ht="17.25" hidden="1">
      <c r="A19" s="20"/>
      <c r="B19" s="259">
        <v>112121</v>
      </c>
      <c r="C19" s="15" t="s">
        <v>1122</v>
      </c>
      <c r="D19" s="19"/>
      <c r="E19" s="39"/>
      <c r="F19" s="20"/>
      <c r="G19" s="39"/>
      <c r="H19" s="73"/>
      <c r="I19" s="202"/>
      <c r="J19" s="73"/>
      <c r="K19" s="161"/>
      <c r="L19" s="274">
        <f t="shared" si="0"/>
        <v>0</v>
      </c>
      <c r="M19" s="320"/>
      <c r="N19" s="321"/>
      <c r="O19" s="39"/>
    </row>
    <row r="20" spans="1:15" ht="17.25" hidden="1">
      <c r="A20" s="20"/>
      <c r="B20" s="259">
        <v>112122</v>
      </c>
      <c r="C20" s="15" t="s">
        <v>776</v>
      </c>
      <c r="D20" s="19"/>
      <c r="E20" s="39"/>
      <c r="F20" s="20"/>
      <c r="G20" s="39"/>
      <c r="H20" s="73"/>
      <c r="I20" s="202"/>
      <c r="J20" s="73"/>
      <c r="K20" s="161"/>
      <c r="L20" s="274">
        <f t="shared" si="0"/>
        <v>0</v>
      </c>
      <c r="M20" s="320"/>
      <c r="N20" s="321"/>
      <c r="O20" s="39"/>
    </row>
    <row r="21" spans="1:15" ht="17.25" hidden="1">
      <c r="A21" s="20"/>
      <c r="B21" s="259">
        <v>11213</v>
      </c>
      <c r="C21" s="15" t="s">
        <v>1123</v>
      </c>
      <c r="D21" s="19"/>
      <c r="E21" s="39"/>
      <c r="F21" s="20"/>
      <c r="G21" s="39"/>
      <c r="H21" s="73"/>
      <c r="I21" s="202"/>
      <c r="J21" s="73"/>
      <c r="K21" s="161"/>
      <c r="L21" s="274">
        <f t="shared" si="0"/>
        <v>0</v>
      </c>
      <c r="M21" s="320"/>
      <c r="N21" s="321"/>
      <c r="O21" s="39"/>
    </row>
    <row r="22" spans="1:15" ht="17.25" hidden="1">
      <c r="A22" s="20"/>
      <c r="B22" s="259">
        <v>112141</v>
      </c>
      <c r="C22" s="15" t="s">
        <v>1124</v>
      </c>
      <c r="D22" s="19"/>
      <c r="E22" s="39"/>
      <c r="F22" s="20"/>
      <c r="G22" s="39"/>
      <c r="H22" s="73"/>
      <c r="I22" s="202"/>
      <c r="J22" s="73"/>
      <c r="K22" s="161"/>
      <c r="L22" s="274">
        <f t="shared" si="0"/>
        <v>0</v>
      </c>
      <c r="M22" s="320"/>
      <c r="N22" s="321"/>
      <c r="O22" s="39"/>
    </row>
    <row r="23" spans="1:15" ht="17.25" hidden="1">
      <c r="A23" s="20"/>
      <c r="B23" s="259">
        <v>112142</v>
      </c>
      <c r="C23" s="15" t="s">
        <v>1125</v>
      </c>
      <c r="D23" s="19"/>
      <c r="E23" s="39"/>
      <c r="F23" s="20"/>
      <c r="G23" s="39"/>
      <c r="H23" s="73"/>
      <c r="I23" s="202"/>
      <c r="J23" s="73"/>
      <c r="K23" s="161"/>
      <c r="L23" s="274">
        <f t="shared" si="0"/>
        <v>0</v>
      </c>
      <c r="M23" s="320"/>
      <c r="N23" s="321"/>
      <c r="O23" s="39"/>
    </row>
    <row r="24" spans="1:15" ht="17.25" hidden="1">
      <c r="A24" s="20"/>
      <c r="B24" s="259">
        <v>11215</v>
      </c>
      <c r="C24" s="15" t="s">
        <v>1016</v>
      </c>
      <c r="D24" s="19"/>
      <c r="E24" s="39"/>
      <c r="F24" s="20"/>
      <c r="G24" s="39"/>
      <c r="H24" s="73"/>
      <c r="I24" s="202"/>
      <c r="J24" s="73"/>
      <c r="K24" s="161"/>
      <c r="L24" s="274">
        <f t="shared" si="0"/>
        <v>0</v>
      </c>
      <c r="M24" s="320"/>
      <c r="N24" s="321"/>
      <c r="O24" s="39"/>
    </row>
    <row r="25" spans="1:15" ht="17.25" hidden="1">
      <c r="A25" s="20"/>
      <c r="B25" s="259">
        <v>11216</v>
      </c>
      <c r="C25" s="15" t="s">
        <v>1017</v>
      </c>
      <c r="D25" s="19"/>
      <c r="E25" s="39"/>
      <c r="F25" s="20"/>
      <c r="G25" s="39"/>
      <c r="H25" s="73"/>
      <c r="I25" s="202"/>
      <c r="J25" s="73"/>
      <c r="K25" s="161"/>
      <c r="L25" s="274">
        <f t="shared" si="0"/>
        <v>0</v>
      </c>
      <c r="M25" s="320"/>
      <c r="N25" s="321"/>
      <c r="O25" s="39"/>
    </row>
    <row r="26" spans="1:15" ht="17.25" hidden="1">
      <c r="A26" s="20"/>
      <c r="B26" s="259">
        <v>11217</v>
      </c>
      <c r="C26" s="15" t="s">
        <v>1095</v>
      </c>
      <c r="D26" s="19"/>
      <c r="E26" s="39"/>
      <c r="F26" s="20"/>
      <c r="G26" s="39"/>
      <c r="H26" s="73"/>
      <c r="I26" s="202"/>
      <c r="J26" s="73"/>
      <c r="K26" s="161"/>
      <c r="L26" s="274">
        <f t="shared" si="0"/>
        <v>0</v>
      </c>
      <c r="M26" s="320"/>
      <c r="N26" s="321"/>
      <c r="O26" s="39"/>
    </row>
    <row r="27" spans="1:15" ht="17.25" hidden="1">
      <c r="A27" s="20"/>
      <c r="B27" s="259">
        <v>11218</v>
      </c>
      <c r="C27" s="15" t="s">
        <v>314</v>
      </c>
      <c r="D27" s="19"/>
      <c r="E27" s="39"/>
      <c r="F27" s="20"/>
      <c r="G27" s="39"/>
      <c r="H27" s="73"/>
      <c r="I27" s="202"/>
      <c r="J27" s="73"/>
      <c r="K27" s="161"/>
      <c r="L27" s="274">
        <f t="shared" si="0"/>
        <v>0</v>
      </c>
      <c r="M27" s="320"/>
      <c r="N27" s="321"/>
      <c r="O27" s="39"/>
    </row>
    <row r="28" spans="1:15" ht="17.25" hidden="1">
      <c r="A28" s="20"/>
      <c r="B28" s="259">
        <v>11219</v>
      </c>
      <c r="C28" s="15" t="s">
        <v>315</v>
      </c>
      <c r="D28" s="19"/>
      <c r="E28" s="39"/>
      <c r="F28" s="20"/>
      <c r="G28" s="39"/>
      <c r="H28" s="73"/>
      <c r="I28" s="202"/>
      <c r="J28" s="73"/>
      <c r="K28" s="161"/>
      <c r="L28" s="274">
        <f t="shared" si="0"/>
        <v>0</v>
      </c>
      <c r="M28" s="320"/>
      <c r="N28" s="321"/>
      <c r="O28" s="39"/>
    </row>
    <row r="29" spans="1:15" ht="17.25" hidden="1">
      <c r="A29" s="20"/>
      <c r="B29" s="287" t="s">
        <v>450</v>
      </c>
      <c r="C29" s="15" t="s">
        <v>449</v>
      </c>
      <c r="D29" s="19"/>
      <c r="E29" s="39"/>
      <c r="F29" s="20"/>
      <c r="G29" s="39"/>
      <c r="H29" s="73"/>
      <c r="I29" s="202"/>
      <c r="J29" s="73"/>
      <c r="K29" s="161"/>
      <c r="L29" s="274">
        <f t="shared" si="0"/>
        <v>0</v>
      </c>
      <c r="M29" s="320"/>
      <c r="N29" s="321"/>
      <c r="O29" s="39"/>
    </row>
    <row r="30" spans="1:15" ht="17.25" hidden="1">
      <c r="A30" s="20"/>
      <c r="B30" s="259">
        <v>11221</v>
      </c>
      <c r="C30" s="15" t="s">
        <v>1126</v>
      </c>
      <c r="D30" s="19"/>
      <c r="E30" s="39"/>
      <c r="F30" s="20"/>
      <c r="G30" s="39"/>
      <c r="H30" s="73"/>
      <c r="I30" s="161"/>
      <c r="J30" s="73"/>
      <c r="K30" s="161"/>
      <c r="L30" s="274">
        <f t="shared" si="0"/>
        <v>0</v>
      </c>
      <c r="M30" s="320"/>
      <c r="N30" s="321"/>
      <c r="O30" s="39"/>
    </row>
    <row r="31" spans="1:15" ht="17.25" hidden="1">
      <c r="A31" s="20"/>
      <c r="B31" s="259">
        <v>11222</v>
      </c>
      <c r="C31" s="15" t="s">
        <v>1018</v>
      </c>
      <c r="D31" s="19"/>
      <c r="E31" s="39"/>
      <c r="F31" s="20"/>
      <c r="G31" s="39"/>
      <c r="H31" s="73"/>
      <c r="I31" s="161"/>
      <c r="J31" s="73"/>
      <c r="K31" s="161"/>
      <c r="L31" s="274">
        <f t="shared" si="0"/>
        <v>0</v>
      </c>
      <c r="M31" s="320"/>
      <c r="N31" s="321"/>
      <c r="O31" s="39"/>
    </row>
    <row r="32" spans="1:15" ht="17.25" hidden="1">
      <c r="A32" s="20"/>
      <c r="B32" s="259">
        <v>11223</v>
      </c>
      <c r="C32" s="15" t="s">
        <v>1016</v>
      </c>
      <c r="D32" s="19"/>
      <c r="E32" s="39"/>
      <c r="F32" s="20"/>
      <c r="G32" s="39"/>
      <c r="H32" s="73"/>
      <c r="I32" s="161"/>
      <c r="J32" s="73"/>
      <c r="K32" s="161"/>
      <c r="L32" s="274">
        <f t="shared" si="0"/>
        <v>0</v>
      </c>
      <c r="M32" s="320"/>
      <c r="N32" s="321"/>
      <c r="O32" s="39"/>
    </row>
    <row r="33" spans="1:15" ht="17.25" hidden="1">
      <c r="A33" s="20"/>
      <c r="B33" s="259">
        <v>11224</v>
      </c>
      <c r="C33" s="15" t="s">
        <v>1019</v>
      </c>
      <c r="D33" s="19"/>
      <c r="E33" s="39"/>
      <c r="F33" s="20"/>
      <c r="G33" s="39"/>
      <c r="H33" s="73"/>
      <c r="I33" s="161"/>
      <c r="J33" s="73"/>
      <c r="K33" s="161"/>
      <c r="L33" s="274">
        <f t="shared" si="0"/>
        <v>0</v>
      </c>
      <c r="M33" s="320"/>
      <c r="N33" s="321"/>
      <c r="O33" s="39"/>
    </row>
    <row r="34" spans="1:15" ht="17.25" hidden="1">
      <c r="A34" s="20"/>
      <c r="B34" s="259">
        <v>11225</v>
      </c>
      <c r="C34" s="15" t="s">
        <v>1017</v>
      </c>
      <c r="D34" s="19"/>
      <c r="E34" s="39"/>
      <c r="F34" s="20"/>
      <c r="G34" s="39"/>
      <c r="H34" s="73"/>
      <c r="I34" s="161"/>
      <c r="J34" s="73"/>
      <c r="K34" s="39"/>
      <c r="L34" s="274">
        <f t="shared" si="0"/>
        <v>0</v>
      </c>
      <c r="M34" s="320"/>
      <c r="N34" s="321"/>
      <c r="O34" s="39"/>
    </row>
    <row r="35" spans="1:15" ht="17.25" hidden="1">
      <c r="A35" s="20"/>
      <c r="B35" s="287" t="s">
        <v>451</v>
      </c>
      <c r="C35" s="15" t="s">
        <v>453</v>
      </c>
      <c r="D35" s="19"/>
      <c r="E35" s="39"/>
      <c r="F35" s="20"/>
      <c r="G35" s="39"/>
      <c r="H35" s="73"/>
      <c r="I35" s="161"/>
      <c r="J35" s="73"/>
      <c r="K35" s="39"/>
      <c r="L35" s="274">
        <f t="shared" si="0"/>
        <v>0</v>
      </c>
      <c r="M35" s="320"/>
      <c r="N35" s="321"/>
      <c r="O35" s="39"/>
    </row>
    <row r="36" spans="1:15" ht="17.25" hidden="1">
      <c r="A36" s="20"/>
      <c r="B36" s="287" t="s">
        <v>452</v>
      </c>
      <c r="C36" s="15" t="s">
        <v>449</v>
      </c>
      <c r="D36" s="19"/>
      <c r="E36" s="39"/>
      <c r="F36" s="20"/>
      <c r="G36" s="39"/>
      <c r="H36" s="73"/>
      <c r="I36" s="161"/>
      <c r="J36" s="73"/>
      <c r="K36" s="39"/>
      <c r="L36" s="274">
        <f t="shared" si="0"/>
        <v>0</v>
      </c>
      <c r="M36" s="320"/>
      <c r="N36" s="321"/>
      <c r="O36" s="39"/>
    </row>
    <row r="37" spans="1:15" ht="17.25" hidden="1">
      <c r="A37" s="20"/>
      <c r="B37" s="42">
        <v>1123</v>
      </c>
      <c r="C37" s="15" t="s">
        <v>535</v>
      </c>
      <c r="D37" s="19">
        <v>0</v>
      </c>
      <c r="E37" s="39"/>
      <c r="F37" s="20"/>
      <c r="G37" s="39"/>
      <c r="H37" s="73"/>
      <c r="I37" s="161"/>
      <c r="J37" s="73"/>
      <c r="K37" s="39"/>
      <c r="L37" s="274">
        <f>D37+H37-J37</f>
        <v>0</v>
      </c>
      <c r="M37" s="320"/>
      <c r="N37" s="321"/>
      <c r="O37" s="39"/>
    </row>
    <row r="38" spans="1:15" ht="15">
      <c r="A38" s="20"/>
      <c r="B38" s="42"/>
      <c r="C38" s="15"/>
      <c r="D38" s="19"/>
      <c r="E38" s="39"/>
      <c r="F38" s="20"/>
      <c r="G38" s="39"/>
      <c r="H38" s="73"/>
      <c r="I38" s="161"/>
      <c r="J38" s="73"/>
      <c r="K38" s="39"/>
      <c r="L38" s="274"/>
      <c r="M38" s="320"/>
      <c r="N38" s="321"/>
      <c r="O38" s="39"/>
    </row>
    <row r="39" spans="1:15" ht="18" hidden="1">
      <c r="A39" s="40">
        <v>113</v>
      </c>
      <c r="B39" s="20"/>
      <c r="C39" s="2" t="s">
        <v>536</v>
      </c>
      <c r="D39" s="28">
        <f>SUM(D40:D41)</f>
        <v>0</v>
      </c>
      <c r="E39" s="39"/>
      <c r="F39" s="20"/>
      <c r="G39" s="39"/>
      <c r="H39" s="160">
        <f>SUM(H40:H41)</f>
        <v>0</v>
      </c>
      <c r="I39" s="260"/>
      <c r="J39" s="160">
        <f>SUM(J40:J41)</f>
        <v>0</v>
      </c>
      <c r="K39" s="41"/>
      <c r="L39" s="327">
        <f>SUM(L40:L41)</f>
        <v>0</v>
      </c>
      <c r="M39" s="320"/>
      <c r="N39" s="321"/>
      <c r="O39" s="39"/>
    </row>
    <row r="40" spans="1:15" ht="17.25" hidden="1">
      <c r="A40" s="20"/>
      <c r="B40" s="42">
        <v>1111</v>
      </c>
      <c r="C40" s="15" t="s">
        <v>534</v>
      </c>
      <c r="D40" s="19">
        <v>0</v>
      </c>
      <c r="E40" s="39"/>
      <c r="F40" s="20"/>
      <c r="G40" s="39"/>
      <c r="H40" s="73">
        <v>0</v>
      </c>
      <c r="I40" s="161"/>
      <c r="J40" s="73">
        <v>0</v>
      </c>
      <c r="K40" s="39"/>
      <c r="L40" s="274">
        <f>H40+D40-J40</f>
        <v>0</v>
      </c>
      <c r="M40" s="320"/>
      <c r="N40" s="321"/>
      <c r="O40" s="39"/>
    </row>
    <row r="41" spans="1:15" ht="17.25" hidden="1">
      <c r="A41" s="20"/>
      <c r="B41" s="42">
        <v>1112</v>
      </c>
      <c r="C41" s="15" t="s">
        <v>41</v>
      </c>
      <c r="D41" s="19">
        <v>0</v>
      </c>
      <c r="E41" s="39"/>
      <c r="F41" s="20"/>
      <c r="G41" s="39"/>
      <c r="H41" s="73">
        <v>0</v>
      </c>
      <c r="I41" s="161"/>
      <c r="J41" s="73">
        <v>0</v>
      </c>
      <c r="K41" s="39"/>
      <c r="L41" s="274">
        <f>H41+D41-J41</f>
        <v>0</v>
      </c>
      <c r="M41" s="320"/>
      <c r="N41" s="321"/>
      <c r="O41" s="39"/>
    </row>
    <row r="42" spans="1:15" ht="17.25" hidden="1">
      <c r="A42" s="20"/>
      <c r="B42" s="42"/>
      <c r="C42" s="15"/>
      <c r="D42" s="19"/>
      <c r="E42" s="39"/>
      <c r="F42" s="20"/>
      <c r="G42" s="39"/>
      <c r="H42" s="73"/>
      <c r="I42" s="161"/>
      <c r="J42" s="73"/>
      <c r="K42" s="39"/>
      <c r="L42" s="274"/>
      <c r="M42" s="320"/>
      <c r="N42" s="321"/>
      <c r="O42" s="39"/>
    </row>
    <row r="43" spans="1:15" ht="18" hidden="1">
      <c r="A43" s="40">
        <v>121</v>
      </c>
      <c r="B43" s="20"/>
      <c r="C43" s="2" t="s">
        <v>537</v>
      </c>
      <c r="D43" s="28">
        <f>SUM(D44:D45)</f>
        <v>0</v>
      </c>
      <c r="E43" s="39"/>
      <c r="F43" s="20"/>
      <c r="G43" s="39"/>
      <c r="H43" s="160">
        <f>SUM(H44:H45)</f>
        <v>0</v>
      </c>
      <c r="I43" s="260"/>
      <c r="J43" s="160">
        <f>SUM(J44:J45)</f>
        <v>0</v>
      </c>
      <c r="K43" s="41"/>
      <c r="L43" s="327">
        <f>SUM(L44:L45)</f>
        <v>0</v>
      </c>
      <c r="M43" s="320"/>
      <c r="N43" s="321"/>
      <c r="O43" s="39"/>
    </row>
    <row r="44" spans="1:15" ht="17.25" hidden="1">
      <c r="A44" s="20"/>
      <c r="B44" s="42">
        <v>1211</v>
      </c>
      <c r="C44" s="15" t="s">
        <v>538</v>
      </c>
      <c r="D44" s="19"/>
      <c r="E44" s="39"/>
      <c r="F44" s="20"/>
      <c r="G44" s="39"/>
      <c r="H44" s="73"/>
      <c r="I44" s="161"/>
      <c r="J44" s="73"/>
      <c r="K44" s="39"/>
      <c r="L44" s="274">
        <f>H44+D44-J44</f>
        <v>0</v>
      </c>
      <c r="M44" s="320"/>
      <c r="N44" s="321"/>
      <c r="O44" s="39"/>
    </row>
    <row r="45" spans="1:15" ht="17.25" hidden="1">
      <c r="A45" s="20"/>
      <c r="B45" s="42">
        <v>1212</v>
      </c>
      <c r="C45" s="15" t="s">
        <v>539</v>
      </c>
      <c r="D45" s="19"/>
      <c r="E45" s="39"/>
      <c r="F45" s="20"/>
      <c r="G45" s="39"/>
      <c r="H45" s="73"/>
      <c r="I45" s="161"/>
      <c r="J45" s="73"/>
      <c r="K45" s="39"/>
      <c r="L45" s="274">
        <f>H45+D45-J45</f>
        <v>0</v>
      </c>
      <c r="M45" s="320"/>
      <c r="N45" s="321"/>
      <c r="O45" s="39"/>
    </row>
    <row r="46" spans="1:15" ht="17.25" hidden="1">
      <c r="A46" s="20"/>
      <c r="B46" s="42"/>
      <c r="C46" s="15"/>
      <c r="D46" s="19"/>
      <c r="E46" s="39"/>
      <c r="F46" s="20"/>
      <c r="G46" s="39"/>
      <c r="H46" s="73"/>
      <c r="I46" s="161"/>
      <c r="J46" s="73"/>
      <c r="K46" s="39"/>
      <c r="L46" s="274"/>
      <c r="M46" s="320"/>
      <c r="N46" s="321"/>
      <c r="O46" s="39"/>
    </row>
    <row r="47" spans="1:15" ht="15.75">
      <c r="A47" s="40">
        <v>128</v>
      </c>
      <c r="B47" s="42"/>
      <c r="C47" s="2" t="s">
        <v>43</v>
      </c>
      <c r="D47" s="28">
        <v>21764000000</v>
      </c>
      <c r="E47" s="39"/>
      <c r="F47" s="20"/>
      <c r="G47" s="39"/>
      <c r="H47" s="327">
        <v>11125000000</v>
      </c>
      <c r="I47" s="328"/>
      <c r="J47" s="327">
        <v>7792508850</v>
      </c>
      <c r="K47" s="260"/>
      <c r="L47" s="327">
        <f>D47+H47-J47</f>
        <v>25096491150</v>
      </c>
      <c r="M47" s="320"/>
      <c r="N47" s="321"/>
      <c r="O47" s="39"/>
    </row>
    <row r="48" spans="1:15" ht="17.25" hidden="1">
      <c r="A48" s="20"/>
      <c r="B48" s="20"/>
      <c r="C48" s="15"/>
      <c r="D48" s="20"/>
      <c r="E48" s="39"/>
      <c r="F48" s="20"/>
      <c r="G48" s="39"/>
      <c r="H48" s="321"/>
      <c r="I48" s="320"/>
      <c r="J48" s="321"/>
      <c r="K48" s="39"/>
      <c r="L48" s="321"/>
      <c r="M48" s="320"/>
      <c r="N48" s="321"/>
      <c r="O48" s="39"/>
    </row>
    <row r="49" spans="1:15" ht="18" hidden="1">
      <c r="A49" s="40">
        <v>129</v>
      </c>
      <c r="B49" s="42"/>
      <c r="C49" s="2" t="s">
        <v>540</v>
      </c>
      <c r="D49" s="28">
        <v>0</v>
      </c>
      <c r="E49" s="39"/>
      <c r="F49" s="20"/>
      <c r="G49" s="39"/>
      <c r="H49" s="327"/>
      <c r="I49" s="328"/>
      <c r="J49" s="327"/>
      <c r="K49" s="41"/>
      <c r="L49" s="327">
        <f>D49+H49-J49</f>
        <v>0</v>
      </c>
      <c r="M49" s="320"/>
      <c r="N49" s="321"/>
      <c r="O49" s="39"/>
    </row>
    <row r="50" spans="1:15" ht="15">
      <c r="A50" s="20"/>
      <c r="B50" s="20"/>
      <c r="C50" s="15"/>
      <c r="D50" s="20"/>
      <c r="E50" s="39"/>
      <c r="F50" s="20"/>
      <c r="G50" s="39"/>
      <c r="H50" s="321"/>
      <c r="I50" s="320"/>
      <c r="J50" s="321"/>
      <c r="K50" s="39"/>
      <c r="L50" s="321"/>
      <c r="M50" s="320"/>
      <c r="N50" s="321"/>
      <c r="O50" s="39"/>
    </row>
    <row r="51" spans="1:15" ht="15.75">
      <c r="A51" s="40">
        <v>131</v>
      </c>
      <c r="B51" s="20"/>
      <c r="C51" s="2" t="s">
        <v>736</v>
      </c>
      <c r="D51" s="28"/>
      <c r="E51" s="39"/>
      <c r="F51" s="28">
        <v>5154878748</v>
      </c>
      <c r="G51" s="39"/>
      <c r="H51" s="327">
        <v>487487530574</v>
      </c>
      <c r="I51" s="328"/>
      <c r="J51" s="327">
        <v>495105119756</v>
      </c>
      <c r="K51" s="260"/>
      <c r="L51" s="327"/>
      <c r="M51" s="320"/>
      <c r="N51" s="327">
        <f>F51+J51-H51</f>
        <v>12772467930</v>
      </c>
      <c r="O51" s="39"/>
    </row>
    <row r="52" spans="1:15" ht="15">
      <c r="A52" s="20"/>
      <c r="B52" s="20"/>
      <c r="C52" s="15" t="s">
        <v>737</v>
      </c>
      <c r="D52" s="73">
        <v>7756171946</v>
      </c>
      <c r="E52" s="39"/>
      <c r="F52" s="19"/>
      <c r="G52" s="39"/>
      <c r="H52" s="159"/>
      <c r="I52" s="161"/>
      <c r="J52" s="159"/>
      <c r="K52" s="39"/>
      <c r="L52" s="73">
        <v>3564390982</v>
      </c>
      <c r="M52" s="39"/>
      <c r="N52" s="19"/>
      <c r="O52" s="39"/>
    </row>
    <row r="53" spans="1:15" ht="15">
      <c r="A53" s="20"/>
      <c r="B53" s="20"/>
      <c r="C53" s="15" t="s">
        <v>738</v>
      </c>
      <c r="D53" s="19"/>
      <c r="E53" s="39"/>
      <c r="F53" s="73">
        <v>12911050694</v>
      </c>
      <c r="G53" s="39"/>
      <c r="H53" s="159"/>
      <c r="I53" s="161"/>
      <c r="J53" s="159"/>
      <c r="K53" s="39"/>
      <c r="L53" s="19"/>
      <c r="M53" s="39"/>
      <c r="N53" s="73">
        <v>16336858912</v>
      </c>
      <c r="O53" s="39"/>
    </row>
    <row r="54" spans="1:15" ht="17.25" hidden="1">
      <c r="A54" s="20"/>
      <c r="B54" s="20"/>
      <c r="C54" s="15"/>
      <c r="D54" s="20"/>
      <c r="E54" s="39"/>
      <c r="F54" s="20"/>
      <c r="G54" s="39"/>
      <c r="H54" s="159"/>
      <c r="I54" s="161"/>
      <c r="J54" s="159"/>
      <c r="K54" s="39"/>
      <c r="L54" s="19"/>
      <c r="M54" s="39"/>
      <c r="N54" s="19"/>
      <c r="O54" s="39"/>
    </row>
    <row r="55" spans="1:15" s="45" customFormat="1" ht="15.75">
      <c r="A55" s="40">
        <v>133</v>
      </c>
      <c r="B55" s="27"/>
      <c r="C55" s="2" t="s">
        <v>438</v>
      </c>
      <c r="D55" s="27"/>
      <c r="E55" s="41"/>
      <c r="F55" s="27"/>
      <c r="G55" s="41"/>
      <c r="H55" s="327">
        <f>SUM(H56:H58)</f>
        <v>8174004456</v>
      </c>
      <c r="I55" s="329"/>
      <c r="J55" s="327">
        <f>SUM(J56:J58)</f>
        <v>7719555118</v>
      </c>
      <c r="K55" s="328"/>
      <c r="L55" s="327">
        <f>SUM(L56:L58)</f>
        <v>454449338</v>
      </c>
      <c r="M55" s="41"/>
      <c r="N55" s="27"/>
      <c r="O55" s="41"/>
    </row>
    <row r="56" spans="1:15" ht="15">
      <c r="A56" s="20"/>
      <c r="B56" s="20">
        <v>1331</v>
      </c>
      <c r="C56" s="15" t="s">
        <v>541</v>
      </c>
      <c r="D56" s="20"/>
      <c r="E56" s="39"/>
      <c r="F56" s="20"/>
      <c r="G56" s="39"/>
      <c r="H56" s="274">
        <v>5918211523</v>
      </c>
      <c r="I56" s="276"/>
      <c r="J56" s="274">
        <v>5918211523</v>
      </c>
      <c r="K56" s="320"/>
      <c r="L56" s="274">
        <f>H56-J56</f>
        <v>0</v>
      </c>
      <c r="M56" s="39"/>
      <c r="N56" s="20"/>
      <c r="O56" s="39"/>
    </row>
    <row r="57" spans="1:15" ht="15">
      <c r="A57" s="20"/>
      <c r="B57" s="20">
        <v>1332</v>
      </c>
      <c r="C57" s="15" t="s">
        <v>264</v>
      </c>
      <c r="D57" s="20"/>
      <c r="E57" s="39"/>
      <c r="F57" s="20"/>
      <c r="G57" s="39"/>
      <c r="H57" s="274">
        <v>1801343595</v>
      </c>
      <c r="I57" s="276"/>
      <c r="J57" s="274">
        <v>1801343595</v>
      </c>
      <c r="K57" s="320"/>
      <c r="L57" s="274">
        <f>H57-J57</f>
        <v>0</v>
      </c>
      <c r="M57" s="39"/>
      <c r="N57" s="20"/>
      <c r="O57" s="39"/>
    </row>
    <row r="58" spans="1:15" ht="15">
      <c r="A58" s="20"/>
      <c r="B58" s="20">
        <v>1333</v>
      </c>
      <c r="C58" s="15" t="s">
        <v>308</v>
      </c>
      <c r="D58" s="20"/>
      <c r="E58" s="39"/>
      <c r="F58" s="20"/>
      <c r="G58" s="39"/>
      <c r="H58" s="274">
        <v>454449338</v>
      </c>
      <c r="I58" s="276"/>
      <c r="J58" s="274">
        <v>0</v>
      </c>
      <c r="K58" s="320"/>
      <c r="L58" s="274">
        <f>H58-J58</f>
        <v>454449338</v>
      </c>
      <c r="M58" s="39"/>
      <c r="N58" s="20"/>
      <c r="O58" s="39"/>
    </row>
    <row r="59" spans="1:15" ht="15">
      <c r="A59" s="20"/>
      <c r="B59" s="20"/>
      <c r="C59" s="15"/>
      <c r="D59" s="20"/>
      <c r="E59" s="39"/>
      <c r="F59" s="20"/>
      <c r="G59" s="39"/>
      <c r="H59" s="73"/>
      <c r="I59" s="202"/>
      <c r="J59" s="73"/>
      <c r="K59" s="39"/>
      <c r="L59" s="19"/>
      <c r="M59" s="39"/>
      <c r="N59" s="20"/>
      <c r="O59" s="39"/>
    </row>
    <row r="60" spans="1:15" ht="15.75">
      <c r="A60" s="40">
        <v>136</v>
      </c>
      <c r="B60" s="20"/>
      <c r="C60" s="2" t="s">
        <v>739</v>
      </c>
      <c r="D60" s="28">
        <f>SUM(D61:D62)</f>
        <v>0</v>
      </c>
      <c r="E60" s="39"/>
      <c r="F60" s="28"/>
      <c r="G60" s="39"/>
      <c r="H60" s="327">
        <f>SUM(H61:H62)</f>
        <v>2154994026</v>
      </c>
      <c r="I60" s="328"/>
      <c r="J60" s="327">
        <f>SUM(J61:J62)</f>
        <v>2154994026</v>
      </c>
      <c r="K60" s="328"/>
      <c r="L60" s="327">
        <f>SUM(L61:L62)</f>
        <v>0</v>
      </c>
      <c r="M60" s="39"/>
      <c r="N60" s="28"/>
      <c r="O60" s="39"/>
    </row>
    <row r="61" spans="1:15" ht="17.25" hidden="1">
      <c r="A61" s="20"/>
      <c r="B61" s="42">
        <v>1361</v>
      </c>
      <c r="C61" s="15" t="s">
        <v>265</v>
      </c>
      <c r="D61" s="19"/>
      <c r="E61" s="39"/>
      <c r="F61" s="19"/>
      <c r="G61" s="39"/>
      <c r="H61" s="274">
        <v>0</v>
      </c>
      <c r="I61" s="320"/>
      <c r="J61" s="274">
        <v>0</v>
      </c>
      <c r="K61" s="320"/>
      <c r="L61" s="274">
        <f>D61+H61-J61</f>
        <v>0</v>
      </c>
      <c r="M61" s="39"/>
      <c r="N61" s="19"/>
      <c r="O61" s="39"/>
    </row>
    <row r="62" spans="1:15" ht="15">
      <c r="A62" s="20"/>
      <c r="B62" s="42">
        <v>1368</v>
      </c>
      <c r="C62" s="15" t="s">
        <v>740</v>
      </c>
      <c r="D62" s="19">
        <v>0</v>
      </c>
      <c r="E62" s="39"/>
      <c r="F62" s="19"/>
      <c r="G62" s="39"/>
      <c r="H62" s="274">
        <v>2154994026</v>
      </c>
      <c r="I62" s="320"/>
      <c r="J62" s="274">
        <v>2154994026</v>
      </c>
      <c r="K62" s="320"/>
      <c r="L62" s="274">
        <f>H62-F62-J62</f>
        <v>0</v>
      </c>
      <c r="M62" s="39"/>
      <c r="N62" s="19"/>
      <c r="O62" s="39"/>
    </row>
    <row r="63" spans="1:15" ht="17.25" hidden="1">
      <c r="A63" s="20"/>
      <c r="B63" s="42"/>
      <c r="C63" s="15"/>
      <c r="D63" s="19"/>
      <c r="E63" s="39"/>
      <c r="F63" s="20"/>
      <c r="G63" s="39"/>
      <c r="H63" s="321"/>
      <c r="I63" s="320"/>
      <c r="J63" s="321"/>
      <c r="K63" s="320"/>
      <c r="L63" s="321"/>
      <c r="M63" s="39"/>
      <c r="N63" s="20"/>
      <c r="O63" s="39"/>
    </row>
    <row r="64" spans="1:15" ht="15.75">
      <c r="A64" s="40">
        <v>138</v>
      </c>
      <c r="B64" s="42"/>
      <c r="C64" s="2" t="s">
        <v>741</v>
      </c>
      <c r="D64" s="28">
        <f>SUM(D65:D67)</f>
        <v>11724048109</v>
      </c>
      <c r="E64" s="39"/>
      <c r="F64" s="20"/>
      <c r="G64" s="39"/>
      <c r="H64" s="327">
        <f>SUM(H65:H67)</f>
        <v>8339531732</v>
      </c>
      <c r="I64" s="328"/>
      <c r="J64" s="327">
        <f>SUM(J65:J67)</f>
        <v>16858547675</v>
      </c>
      <c r="K64" s="328"/>
      <c r="L64" s="327">
        <f>SUM(L65:L67)</f>
        <v>3205032166</v>
      </c>
      <c r="M64" s="39"/>
      <c r="N64" s="20"/>
      <c r="O64" s="39"/>
    </row>
    <row r="65" spans="1:15" ht="18" hidden="1">
      <c r="A65" s="40"/>
      <c r="B65" s="42">
        <v>1381</v>
      </c>
      <c r="C65" s="15" t="s">
        <v>267</v>
      </c>
      <c r="D65" s="19"/>
      <c r="E65" s="39"/>
      <c r="F65" s="19"/>
      <c r="G65" s="39"/>
      <c r="H65" s="274">
        <v>0</v>
      </c>
      <c r="I65" s="328"/>
      <c r="J65" s="274">
        <v>0</v>
      </c>
      <c r="K65" s="328"/>
      <c r="L65" s="274"/>
      <c r="M65" s="39"/>
      <c r="N65" s="20"/>
      <c r="O65" s="39"/>
    </row>
    <row r="66" spans="1:15" ht="18" hidden="1">
      <c r="A66" s="40"/>
      <c r="B66" s="42">
        <v>1385</v>
      </c>
      <c r="C66" s="15" t="s">
        <v>979</v>
      </c>
      <c r="D66" s="19">
        <v>0</v>
      </c>
      <c r="E66" s="39"/>
      <c r="F66" s="19"/>
      <c r="G66" s="39"/>
      <c r="H66" s="274">
        <v>0</v>
      </c>
      <c r="I66" s="328"/>
      <c r="J66" s="274">
        <v>0</v>
      </c>
      <c r="K66" s="328"/>
      <c r="L66" s="274">
        <f>D66+H66-J66</f>
        <v>0</v>
      </c>
      <c r="M66" s="39"/>
      <c r="N66" s="20"/>
      <c r="O66" s="39"/>
    </row>
    <row r="67" spans="1:15" ht="15">
      <c r="A67" s="20"/>
      <c r="B67" s="42">
        <v>1388</v>
      </c>
      <c r="C67" s="15" t="s">
        <v>741</v>
      </c>
      <c r="D67" s="19">
        <v>11724048109</v>
      </c>
      <c r="E67" s="39"/>
      <c r="F67" s="20"/>
      <c r="G67" s="39"/>
      <c r="H67" s="274">
        <v>8339531732</v>
      </c>
      <c r="I67" s="320"/>
      <c r="J67" s="274">
        <v>16858547675</v>
      </c>
      <c r="K67" s="320"/>
      <c r="L67" s="274">
        <f>D67+H67-J67</f>
        <v>3205032166</v>
      </c>
      <c r="M67" s="39"/>
      <c r="N67" s="20"/>
      <c r="O67" s="39"/>
    </row>
    <row r="68" spans="1:15" ht="17.25" hidden="1">
      <c r="A68" s="20"/>
      <c r="B68" s="42"/>
      <c r="C68" s="15"/>
      <c r="D68" s="19"/>
      <c r="E68" s="39"/>
      <c r="F68" s="20"/>
      <c r="G68" s="39"/>
      <c r="H68" s="274"/>
      <c r="I68" s="320"/>
      <c r="J68" s="274"/>
      <c r="K68" s="320"/>
      <c r="L68" s="274"/>
      <c r="M68" s="39"/>
      <c r="N68" s="20"/>
      <c r="O68" s="39"/>
    </row>
    <row r="69" spans="1:15" s="45" customFormat="1" ht="18" hidden="1">
      <c r="A69" s="40">
        <v>139</v>
      </c>
      <c r="B69" s="40"/>
      <c r="C69" s="2" t="s">
        <v>1077</v>
      </c>
      <c r="D69" s="28"/>
      <c r="E69" s="41"/>
      <c r="F69" s="28"/>
      <c r="G69" s="41"/>
      <c r="H69" s="327"/>
      <c r="I69" s="328"/>
      <c r="J69" s="327"/>
      <c r="K69" s="328"/>
      <c r="L69" s="327"/>
      <c r="M69" s="41"/>
      <c r="N69" s="28"/>
      <c r="O69" s="41"/>
    </row>
    <row r="70" spans="1:15" ht="17.25" hidden="1">
      <c r="A70" s="20"/>
      <c r="B70" s="20"/>
      <c r="C70" s="15"/>
      <c r="D70" s="20"/>
      <c r="E70" s="39"/>
      <c r="F70" s="20"/>
      <c r="G70" s="39"/>
      <c r="H70" s="321"/>
      <c r="I70" s="320"/>
      <c r="J70" s="321"/>
      <c r="K70" s="320"/>
      <c r="L70" s="321"/>
      <c r="M70" s="39"/>
      <c r="N70" s="20"/>
      <c r="O70" s="39"/>
    </row>
    <row r="71" spans="1:15" ht="15.75">
      <c r="A71" s="40">
        <v>141</v>
      </c>
      <c r="B71" s="20"/>
      <c r="C71" s="2" t="s">
        <v>742</v>
      </c>
      <c r="D71" s="28">
        <v>893531950</v>
      </c>
      <c r="E71" s="39"/>
      <c r="F71" s="20"/>
      <c r="G71" s="39"/>
      <c r="H71" s="327">
        <v>10174092563</v>
      </c>
      <c r="I71" s="328"/>
      <c r="J71" s="327">
        <v>10087173833</v>
      </c>
      <c r="K71" s="328"/>
      <c r="L71" s="327">
        <f>D71+H71-J71</f>
        <v>980450680</v>
      </c>
      <c r="M71" s="39"/>
      <c r="N71" s="20"/>
      <c r="O71" s="39"/>
    </row>
    <row r="72" spans="1:15" ht="15.75">
      <c r="A72" s="40"/>
      <c r="B72" s="20"/>
      <c r="C72" s="2"/>
      <c r="D72" s="28"/>
      <c r="E72" s="39"/>
      <c r="F72" s="20"/>
      <c r="G72" s="39"/>
      <c r="H72" s="327"/>
      <c r="I72" s="328"/>
      <c r="J72" s="327"/>
      <c r="K72" s="328"/>
      <c r="L72" s="327"/>
      <c r="M72" s="39"/>
      <c r="N72" s="20"/>
      <c r="O72" s="39"/>
    </row>
    <row r="73" spans="1:15" ht="15.75">
      <c r="A73" s="40">
        <v>142</v>
      </c>
      <c r="B73" s="20"/>
      <c r="C73" s="2" t="s">
        <v>743</v>
      </c>
      <c r="D73" s="28">
        <v>0</v>
      </c>
      <c r="E73" s="39"/>
      <c r="F73" s="20"/>
      <c r="G73" s="39"/>
      <c r="H73" s="327">
        <v>29138396284</v>
      </c>
      <c r="I73" s="328"/>
      <c r="J73" s="327">
        <v>29138396284</v>
      </c>
      <c r="K73" s="328"/>
      <c r="L73" s="327">
        <f>D73+H73-J73</f>
        <v>0</v>
      </c>
      <c r="M73" s="39"/>
      <c r="N73" s="20"/>
      <c r="O73" s="39"/>
    </row>
    <row r="74" spans="1:15" ht="15">
      <c r="A74" s="20"/>
      <c r="B74" s="20"/>
      <c r="C74" s="15"/>
      <c r="D74" s="20"/>
      <c r="E74" s="39"/>
      <c r="F74" s="20"/>
      <c r="G74" s="39"/>
      <c r="H74" s="159"/>
      <c r="I74" s="161"/>
      <c r="J74" s="159"/>
      <c r="K74" s="39"/>
      <c r="L74" s="20"/>
      <c r="M74" s="39"/>
      <c r="N74" s="20"/>
      <c r="O74" s="39"/>
    </row>
    <row r="75" spans="1:15" s="45" customFormat="1" ht="18" hidden="1">
      <c r="A75" s="40">
        <v>144</v>
      </c>
      <c r="B75" s="40"/>
      <c r="C75" s="2" t="s">
        <v>270</v>
      </c>
      <c r="D75" s="28">
        <v>0</v>
      </c>
      <c r="E75" s="39"/>
      <c r="F75" s="20"/>
      <c r="G75" s="39"/>
      <c r="H75" s="160">
        <v>0</v>
      </c>
      <c r="I75" s="260"/>
      <c r="J75" s="160">
        <v>0</v>
      </c>
      <c r="K75" s="41"/>
      <c r="L75" s="28">
        <f>D75+H75-J75</f>
        <v>0</v>
      </c>
      <c r="M75" s="41"/>
      <c r="N75" s="28"/>
      <c r="O75" s="41"/>
    </row>
    <row r="76" spans="1:15" ht="17.25" hidden="1">
      <c r="A76" s="20"/>
      <c r="B76" s="20"/>
      <c r="C76" s="15"/>
      <c r="D76" s="20"/>
      <c r="E76" s="39"/>
      <c r="F76" s="20"/>
      <c r="G76" s="39"/>
      <c r="H76" s="159"/>
      <c r="I76" s="161"/>
      <c r="J76" s="159"/>
      <c r="K76" s="39"/>
      <c r="L76" s="20"/>
      <c r="M76" s="39"/>
      <c r="N76" s="20"/>
      <c r="O76" s="39"/>
    </row>
    <row r="77" spans="1:15" s="45" customFormat="1" ht="18" hidden="1">
      <c r="A77" s="40">
        <v>151</v>
      </c>
      <c r="B77" s="40"/>
      <c r="C77" s="2" t="s">
        <v>287</v>
      </c>
      <c r="D77" s="28">
        <v>0</v>
      </c>
      <c r="E77" s="39"/>
      <c r="F77" s="20"/>
      <c r="G77" s="39"/>
      <c r="H77" s="160">
        <v>0</v>
      </c>
      <c r="I77" s="260"/>
      <c r="J77" s="160">
        <v>0</v>
      </c>
      <c r="K77" s="41"/>
      <c r="L77" s="28">
        <f>D77+H77-J77</f>
        <v>0</v>
      </c>
      <c r="M77" s="41"/>
      <c r="N77" s="28"/>
      <c r="O77" s="41"/>
    </row>
    <row r="78" spans="1:15" ht="17.25" hidden="1">
      <c r="A78" s="20"/>
      <c r="B78" s="20"/>
      <c r="C78" s="15"/>
      <c r="D78" s="20"/>
      <c r="E78" s="39"/>
      <c r="F78" s="20"/>
      <c r="G78" s="39"/>
      <c r="H78" s="159"/>
      <c r="I78" s="161"/>
      <c r="J78" s="159"/>
      <c r="K78" s="39"/>
      <c r="L78" s="20"/>
      <c r="M78" s="39"/>
      <c r="N78" s="20"/>
      <c r="O78" s="39"/>
    </row>
    <row r="79" spans="1:15" ht="15.75">
      <c r="A79" s="40">
        <v>152</v>
      </c>
      <c r="B79" s="20"/>
      <c r="C79" s="2" t="s">
        <v>271</v>
      </c>
      <c r="D79" s="28">
        <f>SUM(D80:D83)</f>
        <v>8067970928</v>
      </c>
      <c r="E79" s="39"/>
      <c r="F79" s="20"/>
      <c r="G79" s="39"/>
      <c r="H79" s="327">
        <f>SUM(H80:H83)</f>
        <v>61432483890</v>
      </c>
      <c r="I79" s="328"/>
      <c r="J79" s="327">
        <f>SUM(J80:J83)</f>
        <v>59138165228</v>
      </c>
      <c r="K79" s="328"/>
      <c r="L79" s="327">
        <f>SUM(L80:L83)</f>
        <v>10362289590</v>
      </c>
      <c r="M79" s="39"/>
      <c r="N79" s="20"/>
      <c r="O79" s="39"/>
    </row>
    <row r="80" spans="1:15" ht="15">
      <c r="A80" s="20"/>
      <c r="B80" s="20"/>
      <c r="C80" s="15" t="s">
        <v>272</v>
      </c>
      <c r="D80" s="19">
        <v>3225442572</v>
      </c>
      <c r="E80" s="39"/>
      <c r="F80" s="20"/>
      <c r="G80" s="39"/>
      <c r="H80" s="274">
        <v>44269590389</v>
      </c>
      <c r="I80" s="320"/>
      <c r="J80" s="274">
        <v>44135527448</v>
      </c>
      <c r="K80" s="320"/>
      <c r="L80" s="274">
        <f>D80+H80-J80</f>
        <v>3359505513</v>
      </c>
      <c r="M80" s="39"/>
      <c r="N80" s="20"/>
      <c r="O80" s="39"/>
    </row>
    <row r="81" spans="1:15" ht="15">
      <c r="A81" s="20"/>
      <c r="B81" s="20"/>
      <c r="C81" s="15" t="s">
        <v>744</v>
      </c>
      <c r="D81" s="19">
        <v>565828387</v>
      </c>
      <c r="E81" s="39"/>
      <c r="F81" s="20"/>
      <c r="G81" s="39"/>
      <c r="H81" s="274">
        <v>5948209306</v>
      </c>
      <c r="I81" s="320"/>
      <c r="J81" s="274">
        <v>6048349403</v>
      </c>
      <c r="K81" s="320"/>
      <c r="L81" s="274">
        <f>D81+H81-J81</f>
        <v>465688290</v>
      </c>
      <c r="M81" s="39"/>
      <c r="N81" s="20"/>
      <c r="O81" s="39"/>
    </row>
    <row r="82" spans="1:15" ht="15">
      <c r="A82" s="20"/>
      <c r="B82" s="20"/>
      <c r="C82" s="15" t="s">
        <v>745</v>
      </c>
      <c r="D82" s="19">
        <v>3513824476</v>
      </c>
      <c r="E82" s="39"/>
      <c r="F82" s="20"/>
      <c r="G82" s="39"/>
      <c r="H82" s="274">
        <v>6124282995</v>
      </c>
      <c r="I82" s="320"/>
      <c r="J82" s="274">
        <v>3947669348</v>
      </c>
      <c r="K82" s="320"/>
      <c r="L82" s="274">
        <f>D82+H82-J82</f>
        <v>5690438123</v>
      </c>
      <c r="M82" s="39"/>
      <c r="N82" s="20"/>
      <c r="O82" s="39"/>
    </row>
    <row r="83" spans="1:15" ht="15">
      <c r="A83" s="29"/>
      <c r="B83" s="29"/>
      <c r="C83" s="16" t="s">
        <v>746</v>
      </c>
      <c r="D83" s="261">
        <v>762875493</v>
      </c>
      <c r="E83" s="47"/>
      <c r="F83" s="29"/>
      <c r="G83" s="47"/>
      <c r="H83" s="330">
        <v>5090401200</v>
      </c>
      <c r="I83" s="331"/>
      <c r="J83" s="330">
        <v>5006619029</v>
      </c>
      <c r="K83" s="331"/>
      <c r="L83" s="330">
        <f>D83+H83-J83</f>
        <v>846657664</v>
      </c>
      <c r="M83" s="47"/>
      <c r="N83" s="29"/>
      <c r="O83" s="47"/>
    </row>
    <row r="84" spans="1:15" ht="17.25" hidden="1">
      <c r="A84" s="279"/>
      <c r="B84" s="279"/>
      <c r="C84" s="280"/>
      <c r="D84" s="282"/>
      <c r="E84" s="374"/>
      <c r="F84" s="282"/>
      <c r="G84" s="374"/>
      <c r="H84" s="375"/>
      <c r="I84" s="376"/>
      <c r="J84" s="375"/>
      <c r="K84" s="332"/>
      <c r="L84" s="375"/>
      <c r="M84" s="281"/>
      <c r="N84" s="279"/>
      <c r="O84" s="281"/>
    </row>
    <row r="85" spans="1:15" ht="15.75">
      <c r="A85" s="262">
        <v>153</v>
      </c>
      <c r="B85" s="37"/>
      <c r="C85" s="3" t="s">
        <v>747</v>
      </c>
      <c r="D85" s="263">
        <f>SUM(D86:D86)</f>
        <v>1378758842</v>
      </c>
      <c r="E85" s="38"/>
      <c r="F85" s="37"/>
      <c r="G85" s="38"/>
      <c r="H85" s="333">
        <f>SUM(H86:H86)</f>
        <v>8993303666</v>
      </c>
      <c r="I85" s="334"/>
      <c r="J85" s="333">
        <f>SUM(J86:J86)</f>
        <v>8684535965</v>
      </c>
      <c r="K85" s="334"/>
      <c r="L85" s="333">
        <f>SUM(L86:L86)</f>
        <v>1687526543</v>
      </c>
      <c r="M85" s="38"/>
      <c r="N85" s="37"/>
      <c r="O85" s="38"/>
    </row>
    <row r="86" spans="1:15" ht="15">
      <c r="A86" s="20"/>
      <c r="B86" s="20">
        <v>1531</v>
      </c>
      <c r="C86" s="15" t="s">
        <v>273</v>
      </c>
      <c r="D86" s="19">
        <v>1378758842</v>
      </c>
      <c r="E86" s="39"/>
      <c r="F86" s="20"/>
      <c r="G86" s="39"/>
      <c r="H86" s="274">
        <v>8993303666</v>
      </c>
      <c r="I86" s="320"/>
      <c r="J86" s="274">
        <v>8684535965</v>
      </c>
      <c r="K86" s="320"/>
      <c r="L86" s="274">
        <f>D86+H86-J86</f>
        <v>1687526543</v>
      </c>
      <c r="M86" s="39"/>
      <c r="N86" s="20"/>
      <c r="O86" s="39"/>
    </row>
    <row r="87" spans="1:15" ht="9" customHeight="1" hidden="1">
      <c r="A87" s="20"/>
      <c r="B87" s="20"/>
      <c r="C87" s="15"/>
      <c r="D87" s="20"/>
      <c r="E87" s="39"/>
      <c r="F87" s="20"/>
      <c r="G87" s="39"/>
      <c r="H87" s="159"/>
      <c r="I87" s="161"/>
      <c r="J87" s="159"/>
      <c r="K87" s="39"/>
      <c r="L87" s="20"/>
      <c r="M87" s="39"/>
      <c r="N87" s="20"/>
      <c r="O87" s="39"/>
    </row>
    <row r="88" spans="1:15" ht="29.25" customHeight="1">
      <c r="A88" s="40">
        <v>154</v>
      </c>
      <c r="B88" s="20"/>
      <c r="C88" s="2" t="s">
        <v>748</v>
      </c>
      <c r="D88" s="28">
        <f>SUM(D89:D96)</f>
        <v>1140156962</v>
      </c>
      <c r="E88" s="39"/>
      <c r="F88" s="20"/>
      <c r="G88" s="39"/>
      <c r="H88" s="327">
        <f>SUM(H89:H96)</f>
        <v>297808827873</v>
      </c>
      <c r="I88" s="328"/>
      <c r="J88" s="327">
        <f>SUM(J89:J96)</f>
        <v>292100203208</v>
      </c>
      <c r="K88" s="328"/>
      <c r="L88" s="327">
        <f aca="true" t="shared" si="1" ref="L88:L96">D88+H88-J88</f>
        <v>6848781627</v>
      </c>
      <c r="M88" s="39"/>
      <c r="N88" s="28"/>
      <c r="O88" s="39"/>
    </row>
    <row r="89" spans="1:15" ht="15.75">
      <c r="A89" s="40"/>
      <c r="B89" s="20"/>
      <c r="C89" s="15" t="s">
        <v>1048</v>
      </c>
      <c r="D89" s="19">
        <v>0</v>
      </c>
      <c r="E89" s="39"/>
      <c r="F89" s="20"/>
      <c r="G89" s="39"/>
      <c r="H89" s="274">
        <v>244430534205</v>
      </c>
      <c r="I89" s="320"/>
      <c r="J89" s="274">
        <f>H89</f>
        <v>244430534205</v>
      </c>
      <c r="K89" s="320"/>
      <c r="L89" s="274">
        <f t="shared" si="1"/>
        <v>0</v>
      </c>
      <c r="M89" s="39"/>
      <c r="N89" s="20"/>
      <c r="O89" s="39"/>
    </row>
    <row r="90" spans="1:15" ht="15.75">
      <c r="A90" s="40"/>
      <c r="B90" s="20"/>
      <c r="C90" s="15" t="s">
        <v>1049</v>
      </c>
      <c r="D90" s="19">
        <v>0</v>
      </c>
      <c r="E90" s="39"/>
      <c r="F90" s="20"/>
      <c r="G90" s="39"/>
      <c r="H90" s="274">
        <v>8952783972</v>
      </c>
      <c r="I90" s="320"/>
      <c r="J90" s="274">
        <f>H90</f>
        <v>8952783972</v>
      </c>
      <c r="K90" s="320"/>
      <c r="L90" s="274">
        <f t="shared" si="1"/>
        <v>0</v>
      </c>
      <c r="M90" s="39"/>
      <c r="N90" s="20"/>
      <c r="O90" s="39"/>
    </row>
    <row r="91" spans="1:15" ht="15.75">
      <c r="A91" s="40"/>
      <c r="B91" s="20"/>
      <c r="C91" s="15" t="s">
        <v>1050</v>
      </c>
      <c r="D91" s="19">
        <v>0</v>
      </c>
      <c r="E91" s="39"/>
      <c r="F91" s="20"/>
      <c r="G91" s="39"/>
      <c r="H91" s="274">
        <v>17685185567</v>
      </c>
      <c r="I91" s="320"/>
      <c r="J91" s="274">
        <f>H91</f>
        <v>17685185567</v>
      </c>
      <c r="K91" s="320"/>
      <c r="L91" s="274">
        <f t="shared" si="1"/>
        <v>0</v>
      </c>
      <c r="M91" s="39"/>
      <c r="N91" s="20"/>
      <c r="O91" s="39"/>
    </row>
    <row r="92" spans="1:15" ht="15.75">
      <c r="A92" s="40"/>
      <c r="B92" s="20"/>
      <c r="C92" s="15" t="s">
        <v>545</v>
      </c>
      <c r="D92" s="19">
        <v>0</v>
      </c>
      <c r="E92" s="39"/>
      <c r="F92" s="20"/>
      <c r="G92" s="39"/>
      <c r="H92" s="274">
        <v>780616901</v>
      </c>
      <c r="I92" s="320"/>
      <c r="J92" s="274">
        <f>H92</f>
        <v>780616901</v>
      </c>
      <c r="K92" s="320"/>
      <c r="L92" s="274">
        <f t="shared" si="1"/>
        <v>0</v>
      </c>
      <c r="M92" s="39"/>
      <c r="N92" s="20"/>
      <c r="O92" s="39"/>
    </row>
    <row r="93" spans="1:15" ht="15">
      <c r="A93" s="20"/>
      <c r="B93" s="42"/>
      <c r="C93" s="15" t="s">
        <v>1051</v>
      </c>
      <c r="D93" s="19">
        <v>1084825887</v>
      </c>
      <c r="E93" s="39"/>
      <c r="F93" s="19"/>
      <c r="G93" s="39"/>
      <c r="H93" s="274">
        <f>25959707228-H94-H95-H96</f>
        <v>19976299194</v>
      </c>
      <c r="I93" s="320"/>
      <c r="J93" s="274">
        <f>20251082563-J94-J95-J96</f>
        <v>19500600593</v>
      </c>
      <c r="K93" s="320"/>
      <c r="L93" s="274">
        <f t="shared" si="1"/>
        <v>1560524488</v>
      </c>
      <c r="M93" s="39"/>
      <c r="N93" s="19"/>
      <c r="O93" s="39"/>
    </row>
    <row r="94" spans="1:15" ht="15">
      <c r="A94" s="20"/>
      <c r="B94" s="42"/>
      <c r="C94" s="15" t="s">
        <v>980</v>
      </c>
      <c r="D94" s="19">
        <v>0</v>
      </c>
      <c r="E94" s="39"/>
      <c r="F94" s="19"/>
      <c r="G94" s="39"/>
      <c r="H94" s="274">
        <v>175968795</v>
      </c>
      <c r="I94" s="320"/>
      <c r="J94" s="274">
        <v>175968795</v>
      </c>
      <c r="K94" s="320"/>
      <c r="L94" s="274">
        <f>D94+H94-J94</f>
        <v>0</v>
      </c>
      <c r="M94" s="39"/>
      <c r="N94" s="19"/>
      <c r="O94" s="39"/>
    </row>
    <row r="95" spans="1:15" ht="15">
      <c r="A95" s="20"/>
      <c r="B95" s="42"/>
      <c r="C95" s="15" t="s">
        <v>317</v>
      </c>
      <c r="D95" s="19">
        <v>55331075</v>
      </c>
      <c r="E95" s="39"/>
      <c r="F95" s="19"/>
      <c r="G95" s="39"/>
      <c r="H95" s="274">
        <v>519182100</v>
      </c>
      <c r="I95" s="320"/>
      <c r="J95" s="274">
        <v>574513175</v>
      </c>
      <c r="K95" s="320"/>
      <c r="L95" s="274">
        <f t="shared" si="1"/>
        <v>0</v>
      </c>
      <c r="M95" s="39"/>
      <c r="N95" s="19"/>
      <c r="O95" s="39"/>
    </row>
    <row r="96" spans="1:15" ht="15">
      <c r="A96" s="20"/>
      <c r="B96" s="42"/>
      <c r="C96" s="15" t="s">
        <v>1096</v>
      </c>
      <c r="D96" s="19">
        <v>0</v>
      </c>
      <c r="E96" s="39"/>
      <c r="F96" s="19"/>
      <c r="G96" s="39"/>
      <c r="H96" s="274">
        <v>5288257139</v>
      </c>
      <c r="I96" s="320"/>
      <c r="J96" s="274">
        <v>0</v>
      </c>
      <c r="K96" s="320"/>
      <c r="L96" s="274">
        <f t="shared" si="1"/>
        <v>5288257139</v>
      </c>
      <c r="M96" s="39"/>
      <c r="N96" s="19"/>
      <c r="O96" s="39"/>
    </row>
    <row r="97" spans="1:15" ht="15">
      <c r="A97" s="20"/>
      <c r="B97" s="20"/>
      <c r="C97" s="15"/>
      <c r="D97" s="19"/>
      <c r="E97" s="39"/>
      <c r="F97" s="20"/>
      <c r="G97" s="39"/>
      <c r="H97" s="73"/>
      <c r="I97" s="161"/>
      <c r="J97" s="73"/>
      <c r="K97" s="39"/>
      <c r="L97" s="19"/>
      <c r="M97" s="39"/>
      <c r="N97" s="20"/>
      <c r="O97" s="39"/>
    </row>
    <row r="98" spans="1:15" ht="15.75">
      <c r="A98" s="40">
        <v>155</v>
      </c>
      <c r="B98" s="20"/>
      <c r="C98" s="2" t="s">
        <v>1052</v>
      </c>
      <c r="D98" s="28">
        <f>SUM(D99:D103)</f>
        <v>17453581989</v>
      </c>
      <c r="E98" s="39"/>
      <c r="F98" s="20"/>
      <c r="G98" s="39"/>
      <c r="H98" s="327">
        <f>SUM(H99:H103)</f>
        <v>282324628975</v>
      </c>
      <c r="I98" s="328"/>
      <c r="J98" s="327">
        <f>SUM(J99:J103)</f>
        <v>280621709272</v>
      </c>
      <c r="K98" s="328"/>
      <c r="L98" s="327">
        <f>SUM(L99:L103)</f>
        <v>19156501692</v>
      </c>
      <c r="M98" s="39"/>
      <c r="N98" s="20"/>
      <c r="O98" s="39"/>
    </row>
    <row r="99" spans="1:15" ht="15">
      <c r="A99" s="20"/>
      <c r="B99" s="42"/>
      <c r="C99" s="15" t="s">
        <v>1053</v>
      </c>
      <c r="D99" s="19">
        <v>5858461974</v>
      </c>
      <c r="E99" s="39"/>
      <c r="F99" s="20"/>
      <c r="G99" s="39"/>
      <c r="H99" s="274">
        <v>80427207639</v>
      </c>
      <c r="I99" s="320"/>
      <c r="J99" s="274">
        <v>78746896328</v>
      </c>
      <c r="K99" s="320"/>
      <c r="L99" s="274">
        <f>D99+H99-J99</f>
        <v>7538773285</v>
      </c>
      <c r="M99" s="39"/>
      <c r="N99" s="20"/>
      <c r="O99" s="39"/>
    </row>
    <row r="100" spans="1:15" ht="15">
      <c r="A100" s="20"/>
      <c r="B100" s="42"/>
      <c r="C100" s="15" t="s">
        <v>1114</v>
      </c>
      <c r="D100" s="19">
        <v>11139801495</v>
      </c>
      <c r="E100" s="39"/>
      <c r="F100" s="20"/>
      <c r="G100" s="39"/>
      <c r="H100" s="274">
        <v>176591963262</v>
      </c>
      <c r="I100" s="320"/>
      <c r="J100" s="274">
        <v>176688888892</v>
      </c>
      <c r="K100" s="320"/>
      <c r="L100" s="274">
        <f>D100+H100-J100</f>
        <v>11042875865</v>
      </c>
      <c r="M100" s="39"/>
      <c r="N100" s="20"/>
      <c r="O100" s="39"/>
    </row>
    <row r="101" spans="1:15" ht="15">
      <c r="A101" s="20"/>
      <c r="B101" s="42"/>
      <c r="C101" s="15" t="s">
        <v>274</v>
      </c>
      <c r="D101" s="19">
        <v>0</v>
      </c>
      <c r="E101" s="39"/>
      <c r="F101" s="20"/>
      <c r="G101" s="39"/>
      <c r="H101" s="274">
        <v>14829949744</v>
      </c>
      <c r="I101" s="320"/>
      <c r="J101" s="274">
        <v>14576714385</v>
      </c>
      <c r="K101" s="320"/>
      <c r="L101" s="274">
        <f>D101+H101-J101</f>
        <v>253235359</v>
      </c>
      <c r="M101" s="39"/>
      <c r="N101" s="20"/>
      <c r="O101" s="39"/>
    </row>
    <row r="102" spans="1:15" ht="15">
      <c r="A102" s="20"/>
      <c r="B102" s="42"/>
      <c r="C102" s="15" t="s">
        <v>1054</v>
      </c>
      <c r="D102" s="19">
        <v>2867972</v>
      </c>
      <c r="E102" s="39"/>
      <c r="F102" s="20"/>
      <c r="G102" s="39"/>
      <c r="H102" s="274">
        <v>1966801165</v>
      </c>
      <c r="I102" s="320"/>
      <c r="J102" s="274">
        <v>1969669137</v>
      </c>
      <c r="K102" s="320"/>
      <c r="L102" s="274">
        <f>D102+H102-J102</f>
        <v>0</v>
      </c>
      <c r="M102" s="39"/>
      <c r="N102" s="20"/>
      <c r="O102" s="39"/>
    </row>
    <row r="103" spans="1:15" ht="15">
      <c r="A103" s="20"/>
      <c r="B103" s="42"/>
      <c r="C103" s="15" t="s">
        <v>1055</v>
      </c>
      <c r="D103" s="19">
        <v>452450548</v>
      </c>
      <c r="E103" s="39"/>
      <c r="F103" s="20"/>
      <c r="G103" s="39"/>
      <c r="H103" s="274">
        <v>8508707165</v>
      </c>
      <c r="I103" s="320"/>
      <c r="J103" s="274">
        <v>8639540530</v>
      </c>
      <c r="K103" s="320"/>
      <c r="L103" s="274">
        <f>D103+H103-J103</f>
        <v>321617183</v>
      </c>
      <c r="M103" s="39"/>
      <c r="N103" s="20"/>
      <c r="O103" s="39"/>
    </row>
    <row r="104" spans="1:15" ht="15">
      <c r="A104" s="20"/>
      <c r="B104" s="42"/>
      <c r="C104" s="15"/>
      <c r="D104" s="19"/>
      <c r="E104" s="39"/>
      <c r="F104" s="20"/>
      <c r="G104" s="39"/>
      <c r="H104" s="274"/>
      <c r="I104" s="320"/>
      <c r="J104" s="274"/>
      <c r="K104" s="320"/>
      <c r="L104" s="274"/>
      <c r="M104" s="39"/>
      <c r="N104" s="20"/>
      <c r="O104" s="39"/>
    </row>
    <row r="105" spans="1:15" ht="15.75">
      <c r="A105" s="40">
        <v>156</v>
      </c>
      <c r="B105" s="20"/>
      <c r="C105" s="2" t="s">
        <v>286</v>
      </c>
      <c r="D105" s="28">
        <f>SUM(D106:D107)</f>
        <v>354209774</v>
      </c>
      <c r="E105" s="39"/>
      <c r="F105" s="28"/>
      <c r="G105" s="39"/>
      <c r="H105" s="327">
        <f>SUM(H106:H107)</f>
        <v>9786452367</v>
      </c>
      <c r="I105" s="320"/>
      <c r="J105" s="327">
        <f>SUM(J106:J107)</f>
        <v>9027657457</v>
      </c>
      <c r="K105" s="320"/>
      <c r="L105" s="327">
        <f>SUM(L106:L107)-SUM(N106:N107)</f>
        <v>1113004684</v>
      </c>
      <c r="M105" s="39"/>
      <c r="N105" s="28"/>
      <c r="O105" s="39"/>
    </row>
    <row r="106" spans="1:15" ht="15.75">
      <c r="A106" s="40"/>
      <c r="B106" s="20"/>
      <c r="C106" s="15" t="s">
        <v>313</v>
      </c>
      <c r="D106" s="19">
        <v>269205389</v>
      </c>
      <c r="E106" s="39"/>
      <c r="F106" s="19"/>
      <c r="G106" s="39"/>
      <c r="H106" s="274">
        <v>9540136621</v>
      </c>
      <c r="I106" s="320"/>
      <c r="J106" s="274">
        <v>9027657457</v>
      </c>
      <c r="K106" s="320"/>
      <c r="L106" s="274">
        <f>D106+H106-J106</f>
        <v>781684553</v>
      </c>
      <c r="M106" s="39"/>
      <c r="N106" s="19"/>
      <c r="O106" s="39"/>
    </row>
    <row r="107" spans="1:15" ht="15.75">
      <c r="A107" s="40"/>
      <c r="B107" s="20"/>
      <c r="C107" s="15" t="s">
        <v>316</v>
      </c>
      <c r="D107" s="19">
        <v>85004385</v>
      </c>
      <c r="E107" s="39"/>
      <c r="F107" s="19"/>
      <c r="G107" s="39"/>
      <c r="H107" s="274">
        <v>246315746</v>
      </c>
      <c r="I107" s="320"/>
      <c r="J107" s="274">
        <v>0</v>
      </c>
      <c r="K107" s="320"/>
      <c r="L107" s="274">
        <f>D107+H107-J107</f>
        <v>331320131</v>
      </c>
      <c r="M107" s="39"/>
      <c r="N107" s="19"/>
      <c r="O107" s="39"/>
    </row>
    <row r="108" spans="1:15" ht="15">
      <c r="A108" s="20"/>
      <c r="B108" s="42"/>
      <c r="C108" s="15"/>
      <c r="D108" s="19"/>
      <c r="E108" s="39"/>
      <c r="F108" s="20"/>
      <c r="G108" s="39"/>
      <c r="H108" s="73"/>
      <c r="I108" s="161"/>
      <c r="J108" s="73"/>
      <c r="K108" s="39"/>
      <c r="L108" s="19"/>
      <c r="M108" s="39"/>
      <c r="N108" s="20"/>
      <c r="O108" s="39"/>
    </row>
    <row r="109" spans="1:15" ht="18" hidden="1">
      <c r="A109" s="40">
        <v>157</v>
      </c>
      <c r="B109" s="20"/>
      <c r="C109" s="2" t="s">
        <v>285</v>
      </c>
      <c r="D109" s="28">
        <v>0</v>
      </c>
      <c r="E109" s="39"/>
      <c r="F109" s="28"/>
      <c r="G109" s="39"/>
      <c r="H109" s="160">
        <v>0</v>
      </c>
      <c r="I109" s="161"/>
      <c r="J109" s="160">
        <v>0</v>
      </c>
      <c r="K109" s="39"/>
      <c r="L109" s="28">
        <f>D109+H109-J109</f>
        <v>0</v>
      </c>
      <c r="M109" s="39"/>
      <c r="N109" s="28"/>
      <c r="O109" s="39"/>
    </row>
    <row r="110" spans="1:15" ht="17.25" hidden="1">
      <c r="A110" s="20"/>
      <c r="B110" s="42"/>
      <c r="C110" s="15"/>
      <c r="D110" s="19"/>
      <c r="E110" s="39"/>
      <c r="F110" s="20"/>
      <c r="G110" s="39"/>
      <c r="H110" s="73"/>
      <c r="I110" s="161"/>
      <c r="J110" s="73"/>
      <c r="K110" s="39"/>
      <c r="L110" s="19"/>
      <c r="M110" s="39"/>
      <c r="N110" s="20"/>
      <c r="O110" s="39"/>
    </row>
    <row r="111" spans="1:15" ht="18" hidden="1">
      <c r="A111" s="40">
        <v>158</v>
      </c>
      <c r="B111" s="20"/>
      <c r="C111" s="2" t="s">
        <v>981</v>
      </c>
      <c r="D111" s="28">
        <v>0</v>
      </c>
      <c r="E111" s="39"/>
      <c r="F111" s="28"/>
      <c r="G111" s="39"/>
      <c r="H111" s="160">
        <v>0</v>
      </c>
      <c r="I111" s="161"/>
      <c r="J111" s="160">
        <v>0</v>
      </c>
      <c r="K111" s="39"/>
      <c r="L111" s="28">
        <f>D111+H111-J111</f>
        <v>0</v>
      </c>
      <c r="M111" s="39"/>
      <c r="N111" s="28"/>
      <c r="O111" s="39"/>
    </row>
    <row r="112" spans="1:15" ht="17.25" hidden="1">
      <c r="A112" s="20"/>
      <c r="B112" s="42"/>
      <c r="C112" s="15"/>
      <c r="D112" s="19"/>
      <c r="E112" s="39"/>
      <c r="F112" s="20"/>
      <c r="G112" s="39"/>
      <c r="H112" s="73"/>
      <c r="I112" s="161"/>
      <c r="J112" s="73"/>
      <c r="K112" s="39"/>
      <c r="L112" s="19"/>
      <c r="M112" s="39"/>
      <c r="N112" s="20"/>
      <c r="O112" s="39"/>
    </row>
    <row r="113" spans="1:15" ht="15.75">
      <c r="A113" s="40">
        <v>159</v>
      </c>
      <c r="B113" s="20"/>
      <c r="C113" s="2" t="s">
        <v>284</v>
      </c>
      <c r="D113" s="28"/>
      <c r="E113" s="39"/>
      <c r="F113" s="28">
        <v>1219750379</v>
      </c>
      <c r="G113" s="39"/>
      <c r="H113" s="327">
        <v>1219750379</v>
      </c>
      <c r="I113" s="320"/>
      <c r="J113" s="327">
        <v>0</v>
      </c>
      <c r="K113" s="320"/>
      <c r="L113" s="327"/>
      <c r="M113" s="320"/>
      <c r="N113" s="327">
        <f>J113+F113-H113</f>
        <v>0</v>
      </c>
      <c r="O113" s="39"/>
    </row>
    <row r="114" spans="1:15" ht="15">
      <c r="A114" s="20"/>
      <c r="B114" s="42"/>
      <c r="C114" s="15"/>
      <c r="D114" s="19"/>
      <c r="E114" s="39"/>
      <c r="F114" s="20"/>
      <c r="G114" s="39"/>
      <c r="H114" s="73"/>
      <c r="I114" s="161"/>
      <c r="J114" s="73"/>
      <c r="K114" s="39"/>
      <c r="L114" s="19"/>
      <c r="M114" s="39"/>
      <c r="N114" s="20"/>
      <c r="O114" s="39"/>
    </row>
    <row r="115" spans="1:15" ht="15.75">
      <c r="A115" s="40">
        <v>161</v>
      </c>
      <c r="B115" s="42"/>
      <c r="C115" s="2" t="s">
        <v>1059</v>
      </c>
      <c r="D115" s="28">
        <v>0</v>
      </c>
      <c r="E115" s="39"/>
      <c r="F115" s="20"/>
      <c r="G115" s="39"/>
      <c r="H115" s="327">
        <v>748782757</v>
      </c>
      <c r="I115" s="320"/>
      <c r="J115" s="327">
        <v>748782757</v>
      </c>
      <c r="K115" s="320"/>
      <c r="L115" s="327">
        <f>D115+H115-J115</f>
        <v>0</v>
      </c>
      <c r="M115" s="39"/>
      <c r="N115" s="20"/>
      <c r="O115" s="39"/>
    </row>
    <row r="116" spans="1:15" ht="17.25" hidden="1">
      <c r="A116" s="20"/>
      <c r="B116" s="20"/>
      <c r="C116" s="15"/>
      <c r="D116" s="20"/>
      <c r="E116" s="39"/>
      <c r="F116" s="20"/>
      <c r="G116" s="39"/>
      <c r="H116" s="159"/>
      <c r="I116" s="161"/>
      <c r="J116" s="159"/>
      <c r="K116" s="39"/>
      <c r="L116" s="20"/>
      <c r="M116" s="39"/>
      <c r="N116" s="20"/>
      <c r="O116" s="39"/>
    </row>
    <row r="117" spans="1:15" ht="15.75">
      <c r="A117" s="20"/>
      <c r="B117" s="20"/>
      <c r="C117" s="2" t="s">
        <v>278</v>
      </c>
      <c r="D117" s="20"/>
      <c r="E117" s="39"/>
      <c r="F117" s="20"/>
      <c r="G117" s="39"/>
      <c r="H117" s="159"/>
      <c r="I117" s="161"/>
      <c r="J117" s="159"/>
      <c r="K117" s="39"/>
      <c r="L117" s="20"/>
      <c r="M117" s="39"/>
      <c r="N117" s="20"/>
      <c r="O117" s="39"/>
    </row>
    <row r="118" spans="1:15" ht="15.75">
      <c r="A118" s="40">
        <v>211</v>
      </c>
      <c r="B118" s="20"/>
      <c r="C118" s="2" t="s">
        <v>1060</v>
      </c>
      <c r="D118" s="28">
        <v>421479782097</v>
      </c>
      <c r="E118" s="39"/>
      <c r="F118" s="19"/>
      <c r="G118" s="39"/>
      <c r="H118" s="327">
        <v>34551801521</v>
      </c>
      <c r="I118" s="329"/>
      <c r="J118" s="327">
        <v>21620304397</v>
      </c>
      <c r="K118" s="320"/>
      <c r="L118" s="327">
        <f>D118+H118-J118</f>
        <v>434411279221</v>
      </c>
      <c r="M118" s="161"/>
      <c r="N118" s="73"/>
      <c r="O118" s="39"/>
    </row>
    <row r="119" spans="1:15" ht="15.75">
      <c r="A119" s="40"/>
      <c r="B119" s="20"/>
      <c r="C119" s="15"/>
      <c r="D119" s="19"/>
      <c r="E119" s="39"/>
      <c r="F119" s="20"/>
      <c r="G119" s="39"/>
      <c r="H119" s="73"/>
      <c r="I119" s="161"/>
      <c r="J119" s="73"/>
      <c r="K119" s="161"/>
      <c r="L119" s="73"/>
      <c r="M119" s="161"/>
      <c r="N119" s="159"/>
      <c r="O119" s="39"/>
    </row>
    <row r="120" spans="1:15" ht="18" hidden="1">
      <c r="A120" s="40">
        <v>212</v>
      </c>
      <c r="B120" s="20"/>
      <c r="C120" s="2" t="s">
        <v>275</v>
      </c>
      <c r="D120" s="28">
        <v>0</v>
      </c>
      <c r="E120" s="39"/>
      <c r="F120" s="19"/>
      <c r="G120" s="39"/>
      <c r="H120" s="160"/>
      <c r="I120" s="204"/>
      <c r="J120" s="160"/>
      <c r="K120" s="161"/>
      <c r="L120" s="160">
        <f>D120+H120-J120</f>
        <v>0</v>
      </c>
      <c r="M120" s="161"/>
      <c r="N120" s="159"/>
      <c r="O120" s="39"/>
    </row>
    <row r="121" spans="1:15" ht="18" hidden="1">
      <c r="A121" s="40"/>
      <c r="B121" s="20"/>
      <c r="C121" s="15"/>
      <c r="D121" s="19"/>
      <c r="E121" s="39"/>
      <c r="F121" s="20"/>
      <c r="G121" s="39"/>
      <c r="H121" s="73"/>
      <c r="I121" s="161"/>
      <c r="J121" s="73"/>
      <c r="K121" s="161"/>
      <c r="L121" s="73"/>
      <c r="M121" s="161"/>
      <c r="N121" s="159"/>
      <c r="O121" s="39"/>
    </row>
    <row r="122" spans="1:15" ht="18" hidden="1">
      <c r="A122" s="40">
        <v>213</v>
      </c>
      <c r="B122" s="20"/>
      <c r="C122" s="2" t="s">
        <v>276</v>
      </c>
      <c r="D122" s="28"/>
      <c r="E122" s="39"/>
      <c r="F122" s="19"/>
      <c r="G122" s="39"/>
      <c r="H122" s="160">
        <v>0</v>
      </c>
      <c r="I122" s="204"/>
      <c r="J122" s="160">
        <v>0</v>
      </c>
      <c r="K122" s="161"/>
      <c r="L122" s="160">
        <f>D122+H122-J122</f>
        <v>0</v>
      </c>
      <c r="M122" s="161"/>
      <c r="N122" s="159"/>
      <c r="O122" s="39"/>
    </row>
    <row r="123" spans="1:15" ht="18" hidden="1">
      <c r="A123" s="40"/>
      <c r="B123" s="20"/>
      <c r="C123" s="15"/>
      <c r="D123" s="19"/>
      <c r="E123" s="39"/>
      <c r="F123" s="20"/>
      <c r="G123" s="39"/>
      <c r="H123" s="73"/>
      <c r="I123" s="161"/>
      <c r="J123" s="73"/>
      <c r="K123" s="161"/>
      <c r="L123" s="73"/>
      <c r="M123" s="161"/>
      <c r="N123" s="159"/>
      <c r="O123" s="39"/>
    </row>
    <row r="124" spans="1:15" ht="15.75">
      <c r="A124" s="40">
        <v>214</v>
      </c>
      <c r="B124" s="20"/>
      <c r="C124" s="2" t="s">
        <v>1061</v>
      </c>
      <c r="D124" s="20"/>
      <c r="E124" s="39"/>
      <c r="F124" s="28">
        <v>165054196972</v>
      </c>
      <c r="G124" s="39"/>
      <c r="H124" s="327">
        <v>10544075786</v>
      </c>
      <c r="I124" s="320"/>
      <c r="J124" s="327">
        <v>20080667358</v>
      </c>
      <c r="K124" s="320"/>
      <c r="L124" s="321"/>
      <c r="M124" s="320"/>
      <c r="N124" s="327">
        <f>F124+J124-H124</f>
        <v>174590788544</v>
      </c>
      <c r="O124" s="39"/>
    </row>
    <row r="125" spans="1:15" ht="18" hidden="1">
      <c r="A125" s="40"/>
      <c r="B125" s="20"/>
      <c r="C125" s="2"/>
      <c r="D125" s="20"/>
      <c r="E125" s="39"/>
      <c r="F125" s="28"/>
      <c r="G125" s="39"/>
      <c r="H125" s="160"/>
      <c r="I125" s="161"/>
      <c r="J125" s="160"/>
      <c r="K125" s="39"/>
      <c r="L125" s="20"/>
      <c r="M125" s="39"/>
      <c r="N125" s="28"/>
      <c r="O125" s="39"/>
    </row>
    <row r="126" spans="1:15" ht="18" hidden="1">
      <c r="A126" s="40">
        <v>217</v>
      </c>
      <c r="B126" s="20"/>
      <c r="C126" s="2" t="s">
        <v>283</v>
      </c>
      <c r="D126" s="28">
        <v>0</v>
      </c>
      <c r="E126" s="39"/>
      <c r="F126" s="19"/>
      <c r="G126" s="39"/>
      <c r="H126" s="160"/>
      <c r="I126" s="204"/>
      <c r="J126" s="160"/>
      <c r="K126" s="39"/>
      <c r="L126" s="28">
        <f>D126+H126-J126</f>
        <v>0</v>
      </c>
      <c r="M126" s="39"/>
      <c r="N126" s="20"/>
      <c r="O126" s="39"/>
    </row>
    <row r="127" spans="1:15" ht="18" hidden="1">
      <c r="A127" s="40"/>
      <c r="B127" s="20"/>
      <c r="C127" s="2"/>
      <c r="D127" s="20"/>
      <c r="E127" s="39"/>
      <c r="F127" s="28"/>
      <c r="G127" s="39"/>
      <c r="H127" s="160"/>
      <c r="I127" s="161"/>
      <c r="J127" s="160"/>
      <c r="K127" s="39"/>
      <c r="L127" s="20"/>
      <c r="M127" s="39"/>
      <c r="N127" s="28"/>
      <c r="O127" s="39"/>
    </row>
    <row r="128" spans="1:15" ht="18" hidden="1">
      <c r="A128" s="40">
        <v>221</v>
      </c>
      <c r="B128" s="20"/>
      <c r="C128" s="2" t="s">
        <v>277</v>
      </c>
      <c r="D128" s="28">
        <v>0</v>
      </c>
      <c r="E128" s="39"/>
      <c r="F128" s="28"/>
      <c r="G128" s="39"/>
      <c r="H128" s="160"/>
      <c r="I128" s="161"/>
      <c r="J128" s="160"/>
      <c r="K128" s="39"/>
      <c r="L128" s="28">
        <f>D128+H128-J128</f>
        <v>0</v>
      </c>
      <c r="M128" s="39"/>
      <c r="N128" s="28"/>
      <c r="O128" s="39"/>
    </row>
    <row r="129" spans="1:15" ht="17.25" hidden="1">
      <c r="A129" s="20"/>
      <c r="B129" s="42"/>
      <c r="C129" s="15"/>
      <c r="D129" s="20"/>
      <c r="E129" s="39"/>
      <c r="F129" s="19"/>
      <c r="G129" s="39"/>
      <c r="H129" s="73"/>
      <c r="I129" s="202"/>
      <c r="J129" s="73"/>
      <c r="K129" s="39"/>
      <c r="L129" s="20"/>
      <c r="M129" s="39"/>
      <c r="N129" s="19"/>
      <c r="O129" s="39"/>
    </row>
    <row r="130" spans="1:15" ht="18" hidden="1">
      <c r="A130" s="40">
        <v>222</v>
      </c>
      <c r="B130" s="42"/>
      <c r="C130" s="2" t="s">
        <v>245</v>
      </c>
      <c r="D130" s="28">
        <v>0</v>
      </c>
      <c r="E130" s="39"/>
      <c r="F130" s="19"/>
      <c r="G130" s="39"/>
      <c r="H130" s="160">
        <v>0</v>
      </c>
      <c r="I130" s="202"/>
      <c r="J130" s="160">
        <v>0</v>
      </c>
      <c r="K130" s="39"/>
      <c r="L130" s="28">
        <f>D130+H130-J130</f>
        <v>0</v>
      </c>
      <c r="M130" s="39"/>
      <c r="N130" s="19"/>
      <c r="O130" s="39"/>
    </row>
    <row r="131" spans="1:15" ht="15">
      <c r="A131" s="20"/>
      <c r="B131" s="20"/>
      <c r="C131" s="15"/>
      <c r="D131" s="20"/>
      <c r="E131" s="39"/>
      <c r="F131" s="20"/>
      <c r="G131" s="39"/>
      <c r="H131" s="159"/>
      <c r="I131" s="161"/>
      <c r="J131" s="159"/>
      <c r="K131" s="39"/>
      <c r="L131" s="20"/>
      <c r="M131" s="39"/>
      <c r="N131" s="20"/>
      <c r="O131" s="39"/>
    </row>
    <row r="132" spans="1:15" ht="15.75">
      <c r="A132" s="40">
        <v>223</v>
      </c>
      <c r="B132" s="20"/>
      <c r="C132" s="2" t="s">
        <v>982</v>
      </c>
      <c r="D132" s="28">
        <v>1350000000</v>
      </c>
      <c r="E132" s="39"/>
      <c r="F132" s="28"/>
      <c r="G132" s="39"/>
      <c r="H132" s="327">
        <v>9150000000</v>
      </c>
      <c r="I132" s="320"/>
      <c r="J132" s="327">
        <v>0</v>
      </c>
      <c r="K132" s="320"/>
      <c r="L132" s="327">
        <f>D132+H132-J132</f>
        <v>10500000000</v>
      </c>
      <c r="M132" s="39"/>
      <c r="N132" s="28"/>
      <c r="O132" s="39"/>
    </row>
    <row r="133" spans="1:15" ht="15">
      <c r="A133" s="20"/>
      <c r="B133" s="20"/>
      <c r="C133" s="15"/>
      <c r="D133" s="20"/>
      <c r="E133" s="39"/>
      <c r="F133" s="20"/>
      <c r="G133" s="39"/>
      <c r="H133" s="159"/>
      <c r="I133" s="161"/>
      <c r="J133" s="159"/>
      <c r="K133" s="39"/>
      <c r="L133" s="20"/>
      <c r="M133" s="39"/>
      <c r="N133" s="20"/>
      <c r="O133" s="39"/>
    </row>
    <row r="134" spans="1:15" ht="15.75">
      <c r="A134" s="40">
        <v>228</v>
      </c>
      <c r="B134" s="20"/>
      <c r="C134" s="2" t="s">
        <v>1062</v>
      </c>
      <c r="D134" s="28">
        <f>SUM(D135:D137)</f>
        <v>101168953550</v>
      </c>
      <c r="E134" s="39"/>
      <c r="F134" s="20"/>
      <c r="G134" s="39"/>
      <c r="H134" s="327">
        <f>SUM(H135:H137)</f>
        <v>18400000000</v>
      </c>
      <c r="I134" s="320"/>
      <c r="J134" s="327">
        <f>SUM(J135:J137)</f>
        <v>100000000</v>
      </c>
      <c r="K134" s="320"/>
      <c r="L134" s="327">
        <f>SUM(L135:L137)</f>
        <v>119468953550</v>
      </c>
      <c r="M134" s="39"/>
      <c r="N134" s="20"/>
      <c r="O134" s="39"/>
    </row>
    <row r="135" spans="1:15" ht="17.25" hidden="1">
      <c r="A135" s="20"/>
      <c r="B135" s="20"/>
      <c r="C135" s="15" t="s">
        <v>984</v>
      </c>
      <c r="D135" s="19">
        <v>0</v>
      </c>
      <c r="E135" s="43"/>
      <c r="F135" s="19"/>
      <c r="G135" s="43"/>
      <c r="H135" s="274">
        <v>0</v>
      </c>
      <c r="I135" s="276"/>
      <c r="J135" s="274">
        <v>0</v>
      </c>
      <c r="K135" s="320"/>
      <c r="L135" s="274">
        <f>D135+H135-J135</f>
        <v>0</v>
      </c>
      <c r="M135" s="39"/>
      <c r="N135" s="20"/>
      <c r="O135" s="39"/>
    </row>
    <row r="136" spans="1:15" ht="15">
      <c r="A136" s="20"/>
      <c r="B136" s="20"/>
      <c r="C136" s="15" t="s">
        <v>983</v>
      </c>
      <c r="D136" s="19">
        <v>654400000</v>
      </c>
      <c r="E136" s="43"/>
      <c r="F136" s="19"/>
      <c r="G136" s="43"/>
      <c r="H136" s="274">
        <v>0</v>
      </c>
      <c r="I136" s="276"/>
      <c r="J136" s="274">
        <v>100000000</v>
      </c>
      <c r="K136" s="320"/>
      <c r="L136" s="274">
        <f>D136+H136-J136</f>
        <v>554400000</v>
      </c>
      <c r="M136" s="39"/>
      <c r="N136" s="20"/>
      <c r="O136" s="39"/>
    </row>
    <row r="137" spans="1:15" ht="15">
      <c r="A137" s="29"/>
      <c r="B137" s="29"/>
      <c r="C137" s="16" t="s">
        <v>1062</v>
      </c>
      <c r="D137" s="261">
        <v>100514553550</v>
      </c>
      <c r="E137" s="225"/>
      <c r="F137" s="261"/>
      <c r="G137" s="225"/>
      <c r="H137" s="330">
        <v>18400000000</v>
      </c>
      <c r="I137" s="377"/>
      <c r="J137" s="330">
        <v>0</v>
      </c>
      <c r="K137" s="331"/>
      <c r="L137" s="330">
        <f>D137+H137-J137</f>
        <v>118914553550</v>
      </c>
      <c r="M137" s="47"/>
      <c r="N137" s="29"/>
      <c r="O137" s="47"/>
    </row>
    <row r="138" spans="1:15" ht="17.25" hidden="1">
      <c r="A138" s="279"/>
      <c r="B138" s="279"/>
      <c r="C138" s="280"/>
      <c r="D138" s="279"/>
      <c r="E138" s="281"/>
      <c r="F138" s="279"/>
      <c r="G138" s="281"/>
      <c r="H138" s="288"/>
      <c r="I138" s="289"/>
      <c r="J138" s="288"/>
      <c r="K138" s="289"/>
      <c r="L138" s="378"/>
      <c r="M138" s="281"/>
      <c r="N138" s="279"/>
      <c r="O138" s="281"/>
    </row>
    <row r="139" spans="1:15" ht="15.75">
      <c r="A139" s="262">
        <v>229</v>
      </c>
      <c r="B139" s="37"/>
      <c r="C139" s="3" t="s">
        <v>282</v>
      </c>
      <c r="D139" s="263"/>
      <c r="E139" s="38"/>
      <c r="F139" s="263">
        <v>487000941</v>
      </c>
      <c r="G139" s="38"/>
      <c r="H139" s="333">
        <v>0</v>
      </c>
      <c r="I139" s="326"/>
      <c r="J139" s="333">
        <v>0</v>
      </c>
      <c r="K139" s="326"/>
      <c r="L139" s="333"/>
      <c r="M139" s="326"/>
      <c r="N139" s="333">
        <f>J139+F139-H139</f>
        <v>487000941</v>
      </c>
      <c r="O139" s="38"/>
    </row>
    <row r="140" spans="1:15" ht="15">
      <c r="A140" s="20"/>
      <c r="B140" s="20"/>
      <c r="C140" s="15"/>
      <c r="D140" s="20"/>
      <c r="E140" s="39"/>
      <c r="F140" s="20"/>
      <c r="G140" s="39"/>
      <c r="H140" s="159"/>
      <c r="I140" s="161"/>
      <c r="J140" s="159"/>
      <c r="K140" s="161"/>
      <c r="L140" s="73"/>
      <c r="M140" s="39"/>
      <c r="N140" s="20"/>
      <c r="O140" s="39"/>
    </row>
    <row r="141" spans="1:15" ht="15.75">
      <c r="A141" s="40">
        <v>241</v>
      </c>
      <c r="B141" s="20"/>
      <c r="C141" s="2" t="s">
        <v>1063</v>
      </c>
      <c r="D141" s="28">
        <v>60496596569</v>
      </c>
      <c r="E141" s="39"/>
      <c r="F141" s="20"/>
      <c r="G141" s="39"/>
      <c r="H141" s="327">
        <v>37823190940</v>
      </c>
      <c r="I141" s="320"/>
      <c r="J141" s="327">
        <v>34551801521</v>
      </c>
      <c r="K141" s="320"/>
      <c r="L141" s="327">
        <f>D141+H141-J141</f>
        <v>63767985988</v>
      </c>
      <c r="M141" s="39"/>
      <c r="N141" s="20"/>
      <c r="O141" s="39"/>
    </row>
    <row r="142" spans="1:15" ht="15.75">
      <c r="A142" s="40"/>
      <c r="B142" s="20"/>
      <c r="C142" s="2"/>
      <c r="D142" s="28"/>
      <c r="E142" s="39"/>
      <c r="F142" s="20"/>
      <c r="G142" s="39"/>
      <c r="H142" s="160"/>
      <c r="I142" s="161"/>
      <c r="J142" s="160"/>
      <c r="K142" s="161"/>
      <c r="L142" s="160"/>
      <c r="M142" s="39"/>
      <c r="N142" s="20"/>
      <c r="O142" s="39"/>
    </row>
    <row r="143" spans="1:15" ht="15.75">
      <c r="A143" s="40">
        <v>242</v>
      </c>
      <c r="B143" s="20"/>
      <c r="C143" s="2" t="s">
        <v>200</v>
      </c>
      <c r="D143" s="28">
        <v>32069832502</v>
      </c>
      <c r="E143" s="39"/>
      <c r="F143" s="20"/>
      <c r="G143" s="39"/>
      <c r="H143" s="327">
        <v>8701863355</v>
      </c>
      <c r="I143" s="320"/>
      <c r="J143" s="327">
        <v>7731647990</v>
      </c>
      <c r="K143" s="320"/>
      <c r="L143" s="327">
        <f>D143+H143-J143</f>
        <v>33040047867</v>
      </c>
      <c r="M143" s="39"/>
      <c r="N143" s="20"/>
      <c r="O143" s="39"/>
    </row>
    <row r="144" spans="1:15" ht="18" hidden="1">
      <c r="A144" s="40"/>
      <c r="B144" s="20"/>
      <c r="C144" s="2"/>
      <c r="D144" s="28"/>
      <c r="E144" s="39"/>
      <c r="F144" s="20"/>
      <c r="G144" s="39"/>
      <c r="H144" s="160"/>
      <c r="I144" s="161"/>
      <c r="J144" s="160"/>
      <c r="K144" s="39"/>
      <c r="L144" s="28"/>
      <c r="M144" s="39"/>
      <c r="N144" s="20"/>
      <c r="O144" s="39"/>
    </row>
    <row r="145" spans="1:15" ht="18" hidden="1">
      <c r="A145" s="40">
        <v>242</v>
      </c>
      <c r="B145" s="20"/>
      <c r="C145" s="2" t="s">
        <v>985</v>
      </c>
      <c r="D145" s="28">
        <v>0</v>
      </c>
      <c r="E145" s="39"/>
      <c r="F145" s="20"/>
      <c r="G145" s="39"/>
      <c r="H145" s="160">
        <v>0</v>
      </c>
      <c r="I145" s="161"/>
      <c r="J145" s="160">
        <v>0</v>
      </c>
      <c r="K145" s="39"/>
      <c r="L145" s="28">
        <f>D145+H145-J145</f>
        <v>0</v>
      </c>
      <c r="M145" s="39"/>
      <c r="N145" s="20"/>
      <c r="O145" s="39"/>
    </row>
    <row r="146" spans="1:15" ht="18" hidden="1">
      <c r="A146" s="40"/>
      <c r="B146" s="20"/>
      <c r="C146" s="2"/>
      <c r="D146" s="28"/>
      <c r="E146" s="39"/>
      <c r="F146" s="20"/>
      <c r="G146" s="39"/>
      <c r="H146" s="160"/>
      <c r="I146" s="161"/>
      <c r="J146" s="160"/>
      <c r="K146" s="39"/>
      <c r="L146" s="28"/>
      <c r="M146" s="39"/>
      <c r="N146" s="20"/>
      <c r="O146" s="39"/>
    </row>
    <row r="147" spans="1:15" ht="18" hidden="1">
      <c r="A147" s="40">
        <v>244</v>
      </c>
      <c r="B147" s="20"/>
      <c r="C147" s="2" t="s">
        <v>281</v>
      </c>
      <c r="D147" s="28">
        <v>0</v>
      </c>
      <c r="E147" s="39"/>
      <c r="F147" s="20"/>
      <c r="G147" s="39"/>
      <c r="H147" s="160">
        <v>0</v>
      </c>
      <c r="I147" s="161"/>
      <c r="J147" s="160">
        <v>0</v>
      </c>
      <c r="K147" s="39"/>
      <c r="L147" s="28">
        <f>D147+H147-J147</f>
        <v>0</v>
      </c>
      <c r="M147" s="39"/>
      <c r="N147" s="20"/>
      <c r="O147" s="39"/>
    </row>
    <row r="148" spans="1:15" ht="18" hidden="1">
      <c r="A148" s="40"/>
      <c r="B148" s="20"/>
      <c r="C148" s="2"/>
      <c r="D148" s="28"/>
      <c r="E148" s="39"/>
      <c r="F148" s="20"/>
      <c r="G148" s="39"/>
      <c r="H148" s="160"/>
      <c r="I148" s="161"/>
      <c r="J148" s="160"/>
      <c r="K148" s="39"/>
      <c r="L148" s="28"/>
      <c r="M148" s="39"/>
      <c r="N148" s="20"/>
      <c r="O148" s="39"/>
    </row>
    <row r="149" spans="1:15" ht="15.75">
      <c r="A149" s="20"/>
      <c r="B149" s="20"/>
      <c r="C149" s="2" t="s">
        <v>1064</v>
      </c>
      <c r="D149" s="20"/>
      <c r="E149" s="39"/>
      <c r="F149" s="20"/>
      <c r="G149" s="39"/>
      <c r="H149" s="159"/>
      <c r="I149" s="161"/>
      <c r="J149" s="159"/>
      <c r="K149" s="39"/>
      <c r="L149" s="20"/>
      <c r="M149" s="39"/>
      <c r="N149" s="20"/>
      <c r="O149" s="39"/>
    </row>
    <row r="150" spans="1:15" ht="18" hidden="1">
      <c r="A150" s="20"/>
      <c r="B150" s="20"/>
      <c r="C150" s="2"/>
      <c r="D150" s="20"/>
      <c r="E150" s="39"/>
      <c r="F150" s="20"/>
      <c r="G150" s="39"/>
      <c r="H150" s="159"/>
      <c r="I150" s="161"/>
      <c r="J150" s="159"/>
      <c r="K150" s="39"/>
      <c r="L150" s="20"/>
      <c r="M150" s="39"/>
      <c r="N150" s="20"/>
      <c r="O150" s="39"/>
    </row>
    <row r="151" spans="1:15" ht="15.75">
      <c r="A151" s="40">
        <v>311</v>
      </c>
      <c r="B151" s="20"/>
      <c r="C151" s="2" t="s">
        <v>159</v>
      </c>
      <c r="D151" s="20"/>
      <c r="E151" s="39"/>
      <c r="F151" s="28">
        <v>0</v>
      </c>
      <c r="G151" s="39"/>
      <c r="H151" s="327">
        <v>0</v>
      </c>
      <c r="I151" s="329"/>
      <c r="J151" s="327">
        <v>1506930393</v>
      </c>
      <c r="K151" s="320"/>
      <c r="L151" s="321"/>
      <c r="M151" s="320"/>
      <c r="N151" s="327">
        <f>F151+J151-H151</f>
        <v>1506930393</v>
      </c>
      <c r="O151" s="39"/>
    </row>
    <row r="152" spans="1:15" ht="15.75">
      <c r="A152" s="20"/>
      <c r="B152" s="20"/>
      <c r="C152" s="2"/>
      <c r="D152" s="20"/>
      <c r="E152" s="39"/>
      <c r="F152" s="20"/>
      <c r="G152" s="39"/>
      <c r="H152" s="159"/>
      <c r="I152" s="161"/>
      <c r="J152" s="159"/>
      <c r="K152" s="39"/>
      <c r="L152" s="20"/>
      <c r="M152" s="39"/>
      <c r="N152" s="20"/>
      <c r="O152" s="39"/>
    </row>
    <row r="153" spans="1:15" ht="15.75">
      <c r="A153" s="40">
        <v>315</v>
      </c>
      <c r="B153" s="20"/>
      <c r="C153" s="2" t="s">
        <v>1065</v>
      </c>
      <c r="D153" s="20"/>
      <c r="E153" s="39"/>
      <c r="F153" s="28">
        <v>12388646459</v>
      </c>
      <c r="G153" s="39"/>
      <c r="H153" s="327">
        <v>14788646459</v>
      </c>
      <c r="I153" s="320"/>
      <c r="J153" s="327">
        <v>12486802005</v>
      </c>
      <c r="K153" s="320"/>
      <c r="L153" s="321"/>
      <c r="M153" s="320"/>
      <c r="N153" s="327">
        <f>F153+J153-H153</f>
        <v>10086802005</v>
      </c>
      <c r="O153" s="39"/>
    </row>
    <row r="154" spans="1:15" ht="15">
      <c r="A154" s="20"/>
      <c r="B154" s="20"/>
      <c r="C154" s="15"/>
      <c r="D154" s="20"/>
      <c r="E154" s="39"/>
      <c r="F154" s="20"/>
      <c r="G154" s="39"/>
      <c r="H154" s="159"/>
      <c r="I154" s="161"/>
      <c r="J154" s="159"/>
      <c r="K154" s="39"/>
      <c r="L154" s="20"/>
      <c r="M154" s="39"/>
      <c r="N154" s="20"/>
      <c r="O154" s="39"/>
    </row>
    <row r="155" spans="1:15" ht="15.75">
      <c r="A155" s="40">
        <v>331</v>
      </c>
      <c r="B155" s="20"/>
      <c r="C155" s="2" t="s">
        <v>1066</v>
      </c>
      <c r="D155" s="28">
        <v>2071538014</v>
      </c>
      <c r="E155" s="39"/>
      <c r="F155" s="28"/>
      <c r="G155" s="39"/>
      <c r="H155" s="327">
        <v>109200124766</v>
      </c>
      <c r="I155" s="320"/>
      <c r="J155" s="327">
        <v>109830957593</v>
      </c>
      <c r="K155" s="320"/>
      <c r="L155" s="327">
        <f>D155+H155-J155</f>
        <v>1440705187</v>
      </c>
      <c r="M155" s="39"/>
      <c r="N155" s="28"/>
      <c r="O155" s="39"/>
    </row>
    <row r="156" spans="1:15" ht="15">
      <c r="A156" s="20"/>
      <c r="B156" s="20"/>
      <c r="C156" s="15" t="s">
        <v>1067</v>
      </c>
      <c r="D156" s="73">
        <v>3371060021</v>
      </c>
      <c r="E156" s="39"/>
      <c r="F156" s="19"/>
      <c r="G156" s="39"/>
      <c r="H156" s="159"/>
      <c r="I156" s="161"/>
      <c r="J156" s="159"/>
      <c r="K156" s="39"/>
      <c r="L156" s="73">
        <v>3210358438</v>
      </c>
      <c r="M156" s="39"/>
      <c r="N156" s="19"/>
      <c r="O156" s="39"/>
    </row>
    <row r="157" spans="1:15" ht="15">
      <c r="A157" s="20"/>
      <c r="B157" s="20"/>
      <c r="C157" s="15" t="s">
        <v>1068</v>
      </c>
      <c r="D157" s="19"/>
      <c r="E157" s="39"/>
      <c r="F157" s="73">
        <v>1299522007</v>
      </c>
      <c r="G157" s="39"/>
      <c r="H157" s="159"/>
      <c r="I157" s="161"/>
      <c r="J157" s="159"/>
      <c r="K157" s="39"/>
      <c r="L157" s="19"/>
      <c r="M157" s="39"/>
      <c r="N157" s="73">
        <v>1769653251</v>
      </c>
      <c r="O157" s="39"/>
    </row>
    <row r="158" spans="1:15" ht="15">
      <c r="A158" s="20"/>
      <c r="B158" s="42"/>
      <c r="C158" s="15"/>
      <c r="D158" s="19"/>
      <c r="E158" s="39"/>
      <c r="F158" s="20"/>
      <c r="G158" s="39"/>
      <c r="H158" s="73"/>
      <c r="I158" s="161"/>
      <c r="J158" s="73"/>
      <c r="K158" s="39"/>
      <c r="L158" s="19"/>
      <c r="M158" s="39"/>
      <c r="N158" s="19"/>
      <c r="O158" s="39"/>
    </row>
    <row r="159" spans="1:15" ht="15.75">
      <c r="A159" s="40">
        <v>333</v>
      </c>
      <c r="B159" s="42"/>
      <c r="C159" s="2" t="s">
        <v>99</v>
      </c>
      <c r="D159" s="28"/>
      <c r="E159" s="39"/>
      <c r="F159" s="28">
        <f>SUM(F160:F166)-SUM(D160:D166)</f>
        <v>6571462034</v>
      </c>
      <c r="G159" s="39"/>
      <c r="H159" s="327">
        <f>SUM(H160:H166)</f>
        <v>36336023874</v>
      </c>
      <c r="I159" s="329"/>
      <c r="J159" s="327">
        <f>SUM(J160:J166)</f>
        <v>45572832873</v>
      </c>
      <c r="K159" s="320"/>
      <c r="L159" s="327"/>
      <c r="M159" s="320"/>
      <c r="N159" s="327">
        <f>SUM(N160:N166)-SUM(L160:L166)</f>
        <v>15808271033</v>
      </c>
      <c r="O159" s="39"/>
    </row>
    <row r="160" spans="1:15" ht="15">
      <c r="A160" s="20"/>
      <c r="B160" s="42">
        <v>3331</v>
      </c>
      <c r="C160" s="15" t="s">
        <v>440</v>
      </c>
      <c r="D160" s="19"/>
      <c r="E160" s="39"/>
      <c r="F160" s="19">
        <v>1305445334</v>
      </c>
      <c r="G160" s="39"/>
      <c r="H160" s="274">
        <v>14868302195</v>
      </c>
      <c r="I160" s="320"/>
      <c r="J160" s="274">
        <v>13648071656</v>
      </c>
      <c r="K160" s="320"/>
      <c r="L160" s="274"/>
      <c r="M160" s="320"/>
      <c r="N160" s="274">
        <f>F160+J160-H160</f>
        <v>85214795</v>
      </c>
      <c r="O160" s="39"/>
    </row>
    <row r="161" spans="1:15" ht="15">
      <c r="A161" s="20"/>
      <c r="B161" s="42">
        <v>3333</v>
      </c>
      <c r="C161" s="15" t="s">
        <v>243</v>
      </c>
      <c r="D161" s="19"/>
      <c r="E161" s="39"/>
      <c r="F161" s="19">
        <v>0</v>
      </c>
      <c r="G161" s="39"/>
      <c r="H161" s="274">
        <v>375449651</v>
      </c>
      <c r="I161" s="320"/>
      <c r="J161" s="274">
        <v>375449651</v>
      </c>
      <c r="K161" s="320"/>
      <c r="L161" s="274"/>
      <c r="M161" s="320"/>
      <c r="N161" s="274">
        <f>F161+J161-H161</f>
        <v>0</v>
      </c>
      <c r="O161" s="39"/>
    </row>
    <row r="162" spans="1:15" ht="15">
      <c r="A162" s="20"/>
      <c r="B162" s="42">
        <v>3334</v>
      </c>
      <c r="C162" s="15" t="s">
        <v>441</v>
      </c>
      <c r="D162" s="19"/>
      <c r="E162" s="39"/>
      <c r="F162" s="19">
        <v>0</v>
      </c>
      <c r="G162" s="39"/>
      <c r="H162" s="274">
        <v>2860636523</v>
      </c>
      <c r="I162" s="320"/>
      <c r="J162" s="274">
        <v>4022616136</v>
      </c>
      <c r="K162" s="320"/>
      <c r="L162" s="274"/>
      <c r="M162" s="320"/>
      <c r="N162" s="274">
        <f>F162+J162-H162</f>
        <v>1161979613</v>
      </c>
      <c r="O162" s="39"/>
    </row>
    <row r="163" spans="1:15" ht="15">
      <c r="A163" s="20"/>
      <c r="B163" s="42">
        <v>3336</v>
      </c>
      <c r="C163" s="15" t="s">
        <v>318</v>
      </c>
      <c r="D163" s="19"/>
      <c r="E163" s="39"/>
      <c r="F163" s="20">
        <v>0</v>
      </c>
      <c r="G163" s="39"/>
      <c r="H163" s="274">
        <v>12774911105</v>
      </c>
      <c r="I163" s="320"/>
      <c r="J163" s="274">
        <v>26772474230</v>
      </c>
      <c r="K163" s="320"/>
      <c r="L163" s="274"/>
      <c r="M163" s="320"/>
      <c r="N163" s="274">
        <f>J163-H163</f>
        <v>13997563125</v>
      </c>
      <c r="O163" s="39"/>
    </row>
    <row r="164" spans="1:15" ht="15">
      <c r="A164" s="20"/>
      <c r="B164" s="42">
        <v>3338</v>
      </c>
      <c r="C164" s="15" t="s">
        <v>1079</v>
      </c>
      <c r="D164" s="19"/>
      <c r="E164" s="39"/>
      <c r="F164" s="19">
        <v>0</v>
      </c>
      <c r="G164" s="39"/>
      <c r="H164" s="274">
        <v>39593690</v>
      </c>
      <c r="I164" s="320"/>
      <c r="J164" s="274">
        <v>39593690</v>
      </c>
      <c r="K164" s="320"/>
      <c r="L164" s="274"/>
      <c r="M164" s="320"/>
      <c r="N164" s="274">
        <f>F164+J164-H164</f>
        <v>0</v>
      </c>
      <c r="O164" s="39"/>
    </row>
    <row r="165" spans="1:15" ht="15">
      <c r="A165" s="20"/>
      <c r="B165" s="42">
        <v>3338</v>
      </c>
      <c r="C165" s="15" t="s">
        <v>1082</v>
      </c>
      <c r="D165" s="19"/>
      <c r="E165" s="39"/>
      <c r="F165" s="19">
        <v>0</v>
      </c>
      <c r="G165" s="39"/>
      <c r="H165" s="274">
        <v>7000000</v>
      </c>
      <c r="I165" s="320"/>
      <c r="J165" s="274">
        <v>7000000</v>
      </c>
      <c r="K165" s="320"/>
      <c r="L165" s="274"/>
      <c r="M165" s="320"/>
      <c r="N165" s="274">
        <f>F165+J165-H165</f>
        <v>0</v>
      </c>
      <c r="O165" s="39"/>
    </row>
    <row r="166" spans="1:15" ht="15">
      <c r="A166" s="20"/>
      <c r="B166" s="42">
        <v>3338</v>
      </c>
      <c r="C166" s="15" t="s">
        <v>533</v>
      </c>
      <c r="D166" s="19"/>
      <c r="E166" s="39"/>
      <c r="F166" s="19">
        <v>5266016700</v>
      </c>
      <c r="G166" s="39"/>
      <c r="H166" s="274">
        <f>5266016700+144114010</f>
        <v>5410130710</v>
      </c>
      <c r="I166" s="320"/>
      <c r="J166" s="274">
        <v>707627510</v>
      </c>
      <c r="K166" s="320"/>
      <c r="L166" s="274"/>
      <c r="M166" s="320"/>
      <c r="N166" s="274">
        <f>F166+J166-H166</f>
        <v>563513500</v>
      </c>
      <c r="O166" s="39"/>
    </row>
    <row r="167" spans="1:15" ht="17.25" hidden="1">
      <c r="A167" s="20"/>
      <c r="B167" s="42"/>
      <c r="C167" s="15"/>
      <c r="D167" s="19"/>
      <c r="E167" s="39"/>
      <c r="F167" s="19"/>
      <c r="G167" s="39"/>
      <c r="H167" s="73"/>
      <c r="I167" s="161"/>
      <c r="J167" s="73"/>
      <c r="K167" s="161"/>
      <c r="L167" s="73"/>
      <c r="M167" s="161"/>
      <c r="N167" s="73"/>
      <c r="O167" s="39"/>
    </row>
    <row r="168" spans="1:15" ht="15">
      <c r="A168" s="20"/>
      <c r="B168" s="42"/>
      <c r="C168" s="15"/>
      <c r="D168" s="20"/>
      <c r="E168" s="39"/>
      <c r="F168" s="19"/>
      <c r="G168" s="39"/>
      <c r="H168" s="73"/>
      <c r="I168" s="161"/>
      <c r="J168" s="73"/>
      <c r="K168" s="39"/>
      <c r="L168" s="19"/>
      <c r="M168" s="39"/>
      <c r="N168" s="19"/>
      <c r="O168" s="39"/>
    </row>
    <row r="169" spans="1:15" ht="15.75">
      <c r="A169" s="40">
        <v>334</v>
      </c>
      <c r="B169" s="20"/>
      <c r="C169" s="2" t="s">
        <v>100</v>
      </c>
      <c r="D169" s="20"/>
      <c r="E169" s="39"/>
      <c r="F169" s="28">
        <f>F170-D171</f>
        <v>82162536623</v>
      </c>
      <c r="G169" s="39"/>
      <c r="H169" s="327">
        <f>SUM(H170:H172)</f>
        <v>205571790442</v>
      </c>
      <c r="I169" s="329"/>
      <c r="J169" s="327">
        <f>SUM(J170:J172)</f>
        <v>188310357944</v>
      </c>
      <c r="K169" s="320"/>
      <c r="L169" s="274"/>
      <c r="M169" s="320"/>
      <c r="N169" s="327">
        <f>N170-L171</f>
        <v>64901104125</v>
      </c>
      <c r="O169" s="39"/>
    </row>
    <row r="170" spans="1:15" ht="15">
      <c r="A170" s="20"/>
      <c r="B170" s="42">
        <v>3341</v>
      </c>
      <c r="C170" s="15" t="s">
        <v>101</v>
      </c>
      <c r="D170" s="20"/>
      <c r="E170" s="39"/>
      <c r="F170" s="19">
        <v>82859452535</v>
      </c>
      <c r="G170" s="39"/>
      <c r="H170" s="274">
        <v>194898004846</v>
      </c>
      <c r="I170" s="320"/>
      <c r="J170" s="274">
        <v>176984190414</v>
      </c>
      <c r="K170" s="320"/>
      <c r="L170" s="321"/>
      <c r="M170" s="320"/>
      <c r="N170" s="274">
        <f>F170+J170-H170</f>
        <v>64945638103</v>
      </c>
      <c r="O170" s="39"/>
    </row>
    <row r="171" spans="1:15" ht="15">
      <c r="A171" s="20"/>
      <c r="B171" s="42">
        <v>3342</v>
      </c>
      <c r="C171" s="15" t="s">
        <v>102</v>
      </c>
      <c r="D171" s="19">
        <v>696915912</v>
      </c>
      <c r="E171" s="39"/>
      <c r="F171" s="19"/>
      <c r="G171" s="39"/>
      <c r="H171" s="274">
        <v>680230378</v>
      </c>
      <c r="I171" s="320"/>
      <c r="J171" s="274">
        <v>1332612312</v>
      </c>
      <c r="K171" s="320"/>
      <c r="L171" s="274">
        <f>D171+H171-J171</f>
        <v>44533978</v>
      </c>
      <c r="M171" s="320"/>
      <c r="N171" s="321"/>
      <c r="O171" s="39"/>
    </row>
    <row r="172" spans="1:15" ht="15">
      <c r="A172" s="20"/>
      <c r="B172" s="42">
        <v>3343</v>
      </c>
      <c r="C172" s="15" t="s">
        <v>103</v>
      </c>
      <c r="D172" s="20"/>
      <c r="E172" s="39"/>
      <c r="F172" s="19"/>
      <c r="G172" s="39"/>
      <c r="H172" s="274">
        <v>9993555218</v>
      </c>
      <c r="I172" s="320"/>
      <c r="J172" s="274">
        <v>9993555218</v>
      </c>
      <c r="K172" s="320"/>
      <c r="L172" s="274"/>
      <c r="M172" s="320"/>
      <c r="N172" s="321"/>
      <c r="O172" s="39"/>
    </row>
    <row r="173" spans="1:15" ht="17.25" hidden="1">
      <c r="A173" s="20"/>
      <c r="B173" s="42"/>
      <c r="C173" s="15"/>
      <c r="D173" s="20"/>
      <c r="E173" s="39"/>
      <c r="F173" s="19"/>
      <c r="G173" s="39"/>
      <c r="H173" s="73"/>
      <c r="I173" s="161"/>
      <c r="J173" s="73"/>
      <c r="K173" s="39"/>
      <c r="L173" s="19"/>
      <c r="M173" s="39"/>
      <c r="N173" s="19"/>
      <c r="O173" s="39"/>
    </row>
    <row r="174" spans="1:15" ht="15">
      <c r="A174" s="20"/>
      <c r="B174" s="42"/>
      <c r="C174" s="15"/>
      <c r="D174" s="20"/>
      <c r="E174" s="39"/>
      <c r="F174" s="19"/>
      <c r="G174" s="39"/>
      <c r="H174" s="73"/>
      <c r="I174" s="161"/>
      <c r="J174" s="73"/>
      <c r="K174" s="39"/>
      <c r="L174" s="19"/>
      <c r="M174" s="39"/>
      <c r="N174" s="19"/>
      <c r="O174" s="39"/>
    </row>
    <row r="175" spans="1:15" ht="15.75">
      <c r="A175" s="40">
        <v>335</v>
      </c>
      <c r="B175" s="42"/>
      <c r="C175" s="2" t="s">
        <v>104</v>
      </c>
      <c r="D175" s="28"/>
      <c r="E175" s="39"/>
      <c r="F175" s="28">
        <f>SUM(F176:F176)</f>
        <v>352312400</v>
      </c>
      <c r="G175" s="39"/>
      <c r="H175" s="327">
        <f>SUM(H176:H176)</f>
        <v>634317773</v>
      </c>
      <c r="I175" s="320"/>
      <c r="J175" s="327">
        <f>SUM(J176:J176)</f>
        <v>497703595</v>
      </c>
      <c r="K175" s="320"/>
      <c r="L175" s="327"/>
      <c r="M175" s="320"/>
      <c r="N175" s="327">
        <f>F175+J175-H175</f>
        <v>215698222</v>
      </c>
      <c r="O175" s="39"/>
    </row>
    <row r="176" spans="1:15" ht="15.75">
      <c r="A176" s="40"/>
      <c r="B176" s="42">
        <v>3351</v>
      </c>
      <c r="C176" s="15" t="s">
        <v>672</v>
      </c>
      <c r="D176" s="19"/>
      <c r="E176" s="39"/>
      <c r="F176" s="19">
        <v>352312400</v>
      </c>
      <c r="G176" s="39"/>
      <c r="H176" s="274">
        <v>634317773</v>
      </c>
      <c r="I176" s="320"/>
      <c r="J176" s="274">
        <v>497703595</v>
      </c>
      <c r="K176" s="320"/>
      <c r="L176" s="274"/>
      <c r="M176" s="320"/>
      <c r="N176" s="274">
        <f>F176+J176-H176</f>
        <v>215698222</v>
      </c>
      <c r="O176" s="39"/>
    </row>
    <row r="177" spans="1:15" ht="15.75">
      <c r="A177" s="40"/>
      <c r="B177" s="42"/>
      <c r="C177" s="2"/>
      <c r="D177" s="20"/>
      <c r="E177" s="39"/>
      <c r="F177" s="28"/>
      <c r="G177" s="39"/>
      <c r="H177" s="327"/>
      <c r="I177" s="320"/>
      <c r="J177" s="327"/>
      <c r="K177" s="320"/>
      <c r="L177" s="274"/>
      <c r="M177" s="320"/>
      <c r="N177" s="327"/>
      <c r="O177" s="39"/>
    </row>
    <row r="178" spans="1:15" ht="18" hidden="1">
      <c r="A178" s="40">
        <v>336</v>
      </c>
      <c r="B178" s="42"/>
      <c r="C178" s="2" t="s">
        <v>152</v>
      </c>
      <c r="D178" s="28"/>
      <c r="E178" s="39"/>
      <c r="F178" s="28">
        <v>0</v>
      </c>
      <c r="G178" s="39"/>
      <c r="H178" s="327">
        <v>0</v>
      </c>
      <c r="I178" s="320"/>
      <c r="J178" s="327">
        <v>0</v>
      </c>
      <c r="K178" s="320"/>
      <c r="L178" s="327"/>
      <c r="M178" s="320"/>
      <c r="N178" s="327">
        <f>F178+J178-H178</f>
        <v>0</v>
      </c>
      <c r="O178" s="39"/>
    </row>
    <row r="179" spans="1:15" ht="18" hidden="1">
      <c r="A179" s="40"/>
      <c r="B179" s="42"/>
      <c r="C179" s="2"/>
      <c r="D179" s="28"/>
      <c r="E179" s="39"/>
      <c r="F179" s="28"/>
      <c r="G179" s="39"/>
      <c r="H179" s="327"/>
      <c r="I179" s="320"/>
      <c r="J179" s="327"/>
      <c r="K179" s="320"/>
      <c r="L179" s="327"/>
      <c r="M179" s="320"/>
      <c r="N179" s="327"/>
      <c r="O179" s="39"/>
    </row>
    <row r="180" spans="1:15" ht="18" hidden="1">
      <c r="A180" s="40">
        <v>337</v>
      </c>
      <c r="B180" s="42"/>
      <c r="C180" s="2" t="s">
        <v>279</v>
      </c>
      <c r="D180" s="20"/>
      <c r="E180" s="39"/>
      <c r="F180" s="28">
        <v>0</v>
      </c>
      <c r="G180" s="39"/>
      <c r="H180" s="327">
        <v>0</v>
      </c>
      <c r="I180" s="320"/>
      <c r="J180" s="327">
        <v>0</v>
      </c>
      <c r="K180" s="320"/>
      <c r="L180" s="274"/>
      <c r="M180" s="320"/>
      <c r="N180" s="327">
        <f>F180+J180-H180</f>
        <v>0</v>
      </c>
      <c r="O180" s="39"/>
    </row>
    <row r="181" spans="1:15" ht="17.25" hidden="1">
      <c r="A181" s="20"/>
      <c r="B181" s="20"/>
      <c r="C181" s="15"/>
      <c r="D181" s="20"/>
      <c r="E181" s="39"/>
      <c r="F181" s="20"/>
      <c r="G181" s="39"/>
      <c r="H181" s="321"/>
      <c r="I181" s="320"/>
      <c r="J181" s="321"/>
      <c r="K181" s="320"/>
      <c r="L181" s="321"/>
      <c r="M181" s="320"/>
      <c r="N181" s="274"/>
      <c r="O181" s="39"/>
    </row>
    <row r="182" spans="1:15" ht="15.75">
      <c r="A182" s="40">
        <v>338</v>
      </c>
      <c r="B182" s="20"/>
      <c r="C182" s="2" t="s">
        <v>105</v>
      </c>
      <c r="D182" s="20"/>
      <c r="E182" s="39"/>
      <c r="F182" s="28">
        <f>SUM(F183:F189)-SUM(D183:D189)</f>
        <v>11405148754</v>
      </c>
      <c r="G182" s="39"/>
      <c r="H182" s="327">
        <f>SUM(H183:H189)</f>
        <v>44138646660</v>
      </c>
      <c r="I182" s="320"/>
      <c r="J182" s="327">
        <f>SUM(J183:J189)</f>
        <v>41791316066</v>
      </c>
      <c r="K182" s="320"/>
      <c r="L182" s="327"/>
      <c r="M182" s="320"/>
      <c r="N182" s="327">
        <f>SUM(N183:N189)-SUM(L183:L189)</f>
        <v>9057818160</v>
      </c>
      <c r="O182" s="39"/>
    </row>
    <row r="183" spans="1:15" ht="18" hidden="1">
      <c r="A183" s="40"/>
      <c r="B183" s="42">
        <v>3381</v>
      </c>
      <c r="C183" s="15" t="s">
        <v>148</v>
      </c>
      <c r="D183" s="19"/>
      <c r="E183" s="39"/>
      <c r="F183" s="19">
        <v>0</v>
      </c>
      <c r="G183" s="39"/>
      <c r="H183" s="274">
        <v>0</v>
      </c>
      <c r="I183" s="320"/>
      <c r="J183" s="274"/>
      <c r="K183" s="320"/>
      <c r="L183" s="274"/>
      <c r="M183" s="320"/>
      <c r="N183" s="274">
        <f aca="true" t="shared" si="2" ref="N183:N189">F183+J183-H183</f>
        <v>0</v>
      </c>
      <c r="O183" s="39"/>
    </row>
    <row r="184" spans="1:15" ht="15">
      <c r="A184" s="20"/>
      <c r="B184" s="42">
        <v>3382</v>
      </c>
      <c r="C184" s="15" t="s">
        <v>1115</v>
      </c>
      <c r="D184" s="20"/>
      <c r="E184" s="39"/>
      <c r="F184" s="19">
        <v>1377156603</v>
      </c>
      <c r="G184" s="39"/>
      <c r="H184" s="274">
        <v>3350156603</v>
      </c>
      <c r="I184" s="320"/>
      <c r="J184" s="274">
        <v>3540075808</v>
      </c>
      <c r="K184" s="320"/>
      <c r="L184" s="321"/>
      <c r="M184" s="320"/>
      <c r="N184" s="274">
        <f t="shared" si="2"/>
        <v>1567075808</v>
      </c>
      <c r="O184" s="39"/>
    </row>
    <row r="185" spans="1:15" ht="15">
      <c r="A185" s="20"/>
      <c r="B185" s="42">
        <v>3383</v>
      </c>
      <c r="C185" s="15" t="s">
        <v>1113</v>
      </c>
      <c r="D185" s="19">
        <v>2663645</v>
      </c>
      <c r="E185" s="39"/>
      <c r="F185" s="19"/>
      <c r="G185" s="39"/>
      <c r="H185" s="274">
        <v>11745420449</v>
      </c>
      <c r="I185" s="320"/>
      <c r="J185" s="274">
        <v>11433815700</v>
      </c>
      <c r="K185" s="320"/>
      <c r="L185" s="274">
        <f>D185+H185-J185</f>
        <v>314268394</v>
      </c>
      <c r="M185" s="320"/>
      <c r="N185" s="274"/>
      <c r="O185" s="39"/>
    </row>
    <row r="186" spans="1:15" ht="15">
      <c r="A186" s="20"/>
      <c r="B186" s="42">
        <v>3384</v>
      </c>
      <c r="C186" s="15" t="s">
        <v>106</v>
      </c>
      <c r="D186" s="19"/>
      <c r="E186" s="39"/>
      <c r="F186" s="19">
        <v>0</v>
      </c>
      <c r="G186" s="39"/>
      <c r="H186" s="274">
        <v>1730251887</v>
      </c>
      <c r="I186" s="320"/>
      <c r="J186" s="274">
        <v>1730251887</v>
      </c>
      <c r="K186" s="320"/>
      <c r="L186" s="274"/>
      <c r="M186" s="320"/>
      <c r="N186" s="274">
        <f t="shared" si="2"/>
        <v>0</v>
      </c>
      <c r="O186" s="39"/>
    </row>
    <row r="187" spans="1:15" ht="17.25" hidden="1">
      <c r="A187" s="20"/>
      <c r="B187" s="42">
        <v>3385</v>
      </c>
      <c r="C187" s="15" t="s">
        <v>880</v>
      </c>
      <c r="D187" s="19"/>
      <c r="E187" s="39"/>
      <c r="F187" s="19">
        <v>0</v>
      </c>
      <c r="G187" s="39"/>
      <c r="H187" s="274"/>
      <c r="I187" s="320"/>
      <c r="J187" s="274"/>
      <c r="K187" s="320"/>
      <c r="L187" s="274"/>
      <c r="M187" s="320"/>
      <c r="N187" s="274">
        <f t="shared" si="2"/>
        <v>0</v>
      </c>
      <c r="O187" s="39"/>
    </row>
    <row r="188" spans="1:15" ht="15">
      <c r="A188" s="20"/>
      <c r="B188" s="42">
        <v>3385</v>
      </c>
      <c r="C188" s="15" t="s">
        <v>257</v>
      </c>
      <c r="D188" s="19"/>
      <c r="E188" s="39"/>
      <c r="F188" s="19">
        <v>18000000</v>
      </c>
      <c r="G188" s="39"/>
      <c r="H188" s="274">
        <v>0</v>
      </c>
      <c r="I188" s="320"/>
      <c r="J188" s="274">
        <v>0</v>
      </c>
      <c r="K188" s="320"/>
      <c r="L188" s="274"/>
      <c r="M188" s="320"/>
      <c r="N188" s="274">
        <f t="shared" si="2"/>
        <v>18000000</v>
      </c>
      <c r="O188" s="39"/>
    </row>
    <row r="189" spans="1:15" ht="15">
      <c r="A189" s="29"/>
      <c r="B189" s="264">
        <v>3388</v>
      </c>
      <c r="C189" s="16" t="s">
        <v>256</v>
      </c>
      <c r="D189" s="29"/>
      <c r="E189" s="47"/>
      <c r="F189" s="261">
        <v>10012655796</v>
      </c>
      <c r="G189" s="47"/>
      <c r="H189" s="330">
        <v>27312817721</v>
      </c>
      <c r="I189" s="331"/>
      <c r="J189" s="330">
        <v>25087172671</v>
      </c>
      <c r="K189" s="331"/>
      <c r="L189" s="330"/>
      <c r="M189" s="331"/>
      <c r="N189" s="330">
        <f t="shared" si="2"/>
        <v>7787010746</v>
      </c>
      <c r="O189" s="47"/>
    </row>
    <row r="190" spans="1:15" ht="15">
      <c r="A190" s="37"/>
      <c r="B190" s="266"/>
      <c r="C190" s="25"/>
      <c r="D190" s="37"/>
      <c r="E190" s="38"/>
      <c r="F190" s="116"/>
      <c r="G190" s="38"/>
      <c r="H190" s="197"/>
      <c r="I190" s="265"/>
      <c r="J190" s="197"/>
      <c r="K190" s="38"/>
      <c r="L190" s="37"/>
      <c r="M190" s="38"/>
      <c r="N190" s="116"/>
      <c r="O190" s="38"/>
    </row>
    <row r="191" spans="1:15" ht="15.75">
      <c r="A191" s="40">
        <v>341</v>
      </c>
      <c r="B191" s="20"/>
      <c r="C191" s="2" t="s">
        <v>107</v>
      </c>
      <c r="D191" s="20"/>
      <c r="E191" s="39"/>
      <c r="F191" s="28">
        <v>26888450436</v>
      </c>
      <c r="G191" s="39"/>
      <c r="H191" s="327">
        <v>12486802005</v>
      </c>
      <c r="I191" s="320"/>
      <c r="J191" s="327">
        <v>20356506724</v>
      </c>
      <c r="K191" s="320"/>
      <c r="L191" s="321"/>
      <c r="M191" s="320"/>
      <c r="N191" s="327">
        <f>F191+J191-H191</f>
        <v>34758155155</v>
      </c>
      <c r="O191" s="39"/>
    </row>
    <row r="192" spans="1:15" ht="15">
      <c r="A192" s="20"/>
      <c r="B192" s="20"/>
      <c r="C192" s="15"/>
      <c r="D192" s="20"/>
      <c r="E192" s="39"/>
      <c r="F192" s="20"/>
      <c r="G192" s="39"/>
      <c r="H192" s="159"/>
      <c r="I192" s="161"/>
      <c r="J192" s="159"/>
      <c r="K192" s="161"/>
      <c r="L192" s="159"/>
      <c r="M192" s="161"/>
      <c r="N192" s="159"/>
      <c r="O192" s="39"/>
    </row>
    <row r="193" spans="1:15" ht="18" hidden="1">
      <c r="A193" s="40">
        <v>342</v>
      </c>
      <c r="B193" s="20"/>
      <c r="C193" s="2" t="s">
        <v>288</v>
      </c>
      <c r="D193" s="20"/>
      <c r="E193" s="39"/>
      <c r="F193" s="28">
        <v>0</v>
      </c>
      <c r="G193" s="39"/>
      <c r="H193" s="160">
        <v>0</v>
      </c>
      <c r="I193" s="161"/>
      <c r="J193" s="160">
        <v>0</v>
      </c>
      <c r="K193" s="161"/>
      <c r="L193" s="159"/>
      <c r="M193" s="161"/>
      <c r="N193" s="160">
        <f>F193+J193-H193</f>
        <v>0</v>
      </c>
      <c r="O193" s="39"/>
    </row>
    <row r="194" spans="1:15" ht="17.25" hidden="1">
      <c r="A194" s="20"/>
      <c r="B194" s="20"/>
      <c r="C194" s="15"/>
      <c r="D194" s="20"/>
      <c r="E194" s="39"/>
      <c r="F194" s="20"/>
      <c r="G194" s="39"/>
      <c r="H194" s="159"/>
      <c r="I194" s="161"/>
      <c r="J194" s="159"/>
      <c r="K194" s="161"/>
      <c r="L194" s="159"/>
      <c r="M194" s="161"/>
      <c r="N194" s="159"/>
      <c r="O194" s="39"/>
    </row>
    <row r="195" spans="1:15" ht="18" hidden="1">
      <c r="A195" s="40">
        <v>343</v>
      </c>
      <c r="B195" s="20"/>
      <c r="C195" s="2" t="s">
        <v>289</v>
      </c>
      <c r="D195" s="20"/>
      <c r="E195" s="39"/>
      <c r="F195" s="28">
        <v>0</v>
      </c>
      <c r="G195" s="39"/>
      <c r="H195" s="160">
        <v>0</v>
      </c>
      <c r="I195" s="161"/>
      <c r="J195" s="160">
        <v>0</v>
      </c>
      <c r="K195" s="161"/>
      <c r="L195" s="159"/>
      <c r="M195" s="161"/>
      <c r="N195" s="160">
        <f>F195+J195-H195</f>
        <v>0</v>
      </c>
      <c r="O195" s="39"/>
    </row>
    <row r="196" spans="1:15" ht="17.25" hidden="1">
      <c r="A196" s="20"/>
      <c r="B196" s="20"/>
      <c r="C196" s="15"/>
      <c r="D196" s="20"/>
      <c r="E196" s="39"/>
      <c r="F196" s="20"/>
      <c r="G196" s="39"/>
      <c r="H196" s="159"/>
      <c r="I196" s="161"/>
      <c r="J196" s="159"/>
      <c r="K196" s="161"/>
      <c r="L196" s="159"/>
      <c r="M196" s="161"/>
      <c r="N196" s="159"/>
      <c r="O196" s="39"/>
    </row>
    <row r="197" spans="1:15" ht="18" hidden="1">
      <c r="A197" s="40">
        <v>344</v>
      </c>
      <c r="B197" s="20"/>
      <c r="C197" s="2" t="s">
        <v>280</v>
      </c>
      <c r="D197" s="20"/>
      <c r="E197" s="39"/>
      <c r="F197" s="28">
        <v>0</v>
      </c>
      <c r="G197" s="39"/>
      <c r="H197" s="160">
        <v>0</v>
      </c>
      <c r="I197" s="161"/>
      <c r="J197" s="160">
        <v>0</v>
      </c>
      <c r="K197" s="161"/>
      <c r="L197" s="159"/>
      <c r="M197" s="161"/>
      <c r="N197" s="160">
        <f>F197+J197-H197</f>
        <v>0</v>
      </c>
      <c r="O197" s="39"/>
    </row>
    <row r="198" spans="1:15" ht="17.25" hidden="1">
      <c r="A198" s="20"/>
      <c r="B198" s="20"/>
      <c r="C198" s="15"/>
      <c r="D198" s="20"/>
      <c r="E198" s="39"/>
      <c r="F198" s="20"/>
      <c r="G198" s="39"/>
      <c r="H198" s="159"/>
      <c r="I198" s="161"/>
      <c r="J198" s="159"/>
      <c r="K198" s="161"/>
      <c r="L198" s="159"/>
      <c r="M198" s="161"/>
      <c r="N198" s="159"/>
      <c r="O198" s="39"/>
    </row>
    <row r="199" spans="1:15" ht="18" hidden="1">
      <c r="A199" s="40">
        <v>347</v>
      </c>
      <c r="B199" s="20"/>
      <c r="C199" s="2" t="s">
        <v>986</v>
      </c>
      <c r="D199" s="20"/>
      <c r="E199" s="39"/>
      <c r="F199" s="28">
        <v>0</v>
      </c>
      <c r="G199" s="39"/>
      <c r="H199" s="160">
        <v>0</v>
      </c>
      <c r="I199" s="161"/>
      <c r="J199" s="160">
        <v>0</v>
      </c>
      <c r="K199" s="161"/>
      <c r="L199" s="159"/>
      <c r="M199" s="161"/>
      <c r="N199" s="160">
        <f>F199+J199-H199</f>
        <v>0</v>
      </c>
      <c r="O199" s="39"/>
    </row>
    <row r="200" spans="1:15" ht="17.25" hidden="1">
      <c r="A200" s="20"/>
      <c r="B200" s="20"/>
      <c r="C200" s="15"/>
      <c r="D200" s="20"/>
      <c r="E200" s="39"/>
      <c r="F200" s="20"/>
      <c r="G200" s="39"/>
      <c r="H200" s="159"/>
      <c r="I200" s="161"/>
      <c r="J200" s="159"/>
      <c r="K200" s="161"/>
      <c r="L200" s="159"/>
      <c r="M200" s="161"/>
      <c r="N200" s="159"/>
      <c r="O200" s="39"/>
    </row>
    <row r="201" spans="1:15" ht="15.75">
      <c r="A201" s="40">
        <v>351</v>
      </c>
      <c r="B201" s="20"/>
      <c r="C201" s="2" t="s">
        <v>987</v>
      </c>
      <c r="D201" s="20"/>
      <c r="E201" s="39"/>
      <c r="F201" s="28">
        <v>2223709877</v>
      </c>
      <c r="G201" s="39"/>
      <c r="H201" s="327">
        <v>529290650</v>
      </c>
      <c r="I201" s="320"/>
      <c r="J201" s="327">
        <v>1715072355</v>
      </c>
      <c r="K201" s="320"/>
      <c r="L201" s="321"/>
      <c r="M201" s="320"/>
      <c r="N201" s="327">
        <f>F201+J201-H201</f>
        <v>3409491582</v>
      </c>
      <c r="O201" s="39"/>
    </row>
    <row r="202" spans="1:15" ht="15">
      <c r="A202" s="20"/>
      <c r="B202" s="20"/>
      <c r="C202" s="15"/>
      <c r="D202" s="20"/>
      <c r="E202" s="39"/>
      <c r="F202" s="20"/>
      <c r="G202" s="39"/>
      <c r="H202" s="159"/>
      <c r="I202" s="161"/>
      <c r="J202" s="159"/>
      <c r="K202" s="39"/>
      <c r="L202" s="20"/>
      <c r="M202" s="39"/>
      <c r="N202" s="20"/>
      <c r="O202" s="39"/>
    </row>
    <row r="203" spans="1:15" ht="18" hidden="1">
      <c r="A203" s="40">
        <v>352</v>
      </c>
      <c r="B203" s="20"/>
      <c r="C203" s="2" t="s">
        <v>678</v>
      </c>
      <c r="D203" s="20"/>
      <c r="E203" s="39"/>
      <c r="F203" s="28">
        <v>0</v>
      </c>
      <c r="G203" s="39"/>
      <c r="H203" s="160">
        <v>0</v>
      </c>
      <c r="I203" s="161"/>
      <c r="J203" s="160">
        <v>0</v>
      </c>
      <c r="K203" s="39"/>
      <c r="L203" s="20"/>
      <c r="M203" s="39"/>
      <c r="N203" s="28">
        <f>F203+J203-H203</f>
        <v>0</v>
      </c>
      <c r="O203" s="39"/>
    </row>
    <row r="204" spans="1:15" ht="17.25" hidden="1">
      <c r="A204" s="20"/>
      <c r="B204" s="20"/>
      <c r="C204" s="15"/>
      <c r="D204" s="20"/>
      <c r="E204" s="39"/>
      <c r="F204" s="20"/>
      <c r="G204" s="39"/>
      <c r="H204" s="159"/>
      <c r="I204" s="161"/>
      <c r="J204" s="159"/>
      <c r="K204" s="39"/>
      <c r="L204" s="20"/>
      <c r="M204" s="39"/>
      <c r="N204" s="20"/>
      <c r="O204" s="39"/>
    </row>
    <row r="205" spans="1:15" ht="18" hidden="1">
      <c r="A205" s="20"/>
      <c r="B205" s="20"/>
      <c r="C205" s="2"/>
      <c r="D205" s="20"/>
      <c r="E205" s="39"/>
      <c r="F205" s="20"/>
      <c r="G205" s="39"/>
      <c r="H205" s="159"/>
      <c r="I205" s="161"/>
      <c r="J205" s="159"/>
      <c r="K205" s="39"/>
      <c r="L205" s="19"/>
      <c r="M205" s="39"/>
      <c r="N205" s="20"/>
      <c r="O205" s="39"/>
    </row>
    <row r="206" spans="1:15" ht="15.75">
      <c r="A206" s="20"/>
      <c r="B206" s="20"/>
      <c r="C206" s="2" t="s">
        <v>290</v>
      </c>
      <c r="D206" s="20"/>
      <c r="E206" s="39"/>
      <c r="F206" s="20"/>
      <c r="G206" s="39"/>
      <c r="H206" s="159"/>
      <c r="I206" s="161"/>
      <c r="J206" s="159"/>
      <c r="K206" s="39"/>
      <c r="L206" s="19"/>
      <c r="M206" s="39"/>
      <c r="N206" s="20"/>
      <c r="O206" s="39"/>
    </row>
    <row r="207" spans="1:15" ht="17.25" hidden="1">
      <c r="A207" s="20"/>
      <c r="B207" s="20"/>
      <c r="C207" s="15"/>
      <c r="D207" s="20"/>
      <c r="E207" s="39"/>
      <c r="F207" s="20"/>
      <c r="G207" s="39"/>
      <c r="H207" s="159"/>
      <c r="I207" s="161"/>
      <c r="J207" s="159"/>
      <c r="K207" s="39"/>
      <c r="L207" s="20"/>
      <c r="M207" s="39"/>
      <c r="N207" s="20"/>
      <c r="O207" s="39"/>
    </row>
    <row r="208" spans="1:15" ht="15.75">
      <c r="A208" s="40">
        <v>411</v>
      </c>
      <c r="B208" s="20"/>
      <c r="C208" s="2" t="s">
        <v>108</v>
      </c>
      <c r="D208" s="20"/>
      <c r="E208" s="39"/>
      <c r="F208" s="28">
        <v>300000000000</v>
      </c>
      <c r="G208" s="39"/>
      <c r="H208" s="327">
        <f>SUM(H209:H212)</f>
        <v>0</v>
      </c>
      <c r="I208" s="320"/>
      <c r="J208" s="327">
        <f>SUM(J209:J212)</f>
        <v>0</v>
      </c>
      <c r="K208" s="320"/>
      <c r="L208" s="321"/>
      <c r="M208" s="320"/>
      <c r="N208" s="327">
        <f>F208+J208-H208</f>
        <v>300000000000</v>
      </c>
      <c r="O208" s="39"/>
    </row>
    <row r="209" spans="1:15" ht="17.25" hidden="1">
      <c r="A209" s="20"/>
      <c r="B209" s="42">
        <v>4111</v>
      </c>
      <c r="C209" s="15" t="s">
        <v>679</v>
      </c>
      <c r="D209" s="20"/>
      <c r="E209" s="39"/>
      <c r="F209" s="19"/>
      <c r="G209" s="39"/>
      <c r="H209" s="274">
        <v>0</v>
      </c>
      <c r="I209" s="320"/>
      <c r="J209" s="274">
        <v>0</v>
      </c>
      <c r="K209" s="320"/>
      <c r="L209" s="274"/>
      <c r="M209" s="320"/>
      <c r="N209" s="274">
        <f>F209+J209-H209</f>
        <v>0</v>
      </c>
      <c r="O209" s="39"/>
    </row>
    <row r="210" spans="1:15" ht="17.25" hidden="1">
      <c r="A210" s="20"/>
      <c r="B210" s="42">
        <v>4112</v>
      </c>
      <c r="C210" s="15" t="s">
        <v>680</v>
      </c>
      <c r="D210" s="20"/>
      <c r="E210" s="39"/>
      <c r="F210" s="19"/>
      <c r="G210" s="39"/>
      <c r="H210" s="274">
        <v>0</v>
      </c>
      <c r="I210" s="320"/>
      <c r="J210" s="274">
        <v>0</v>
      </c>
      <c r="K210" s="320"/>
      <c r="L210" s="321"/>
      <c r="M210" s="320"/>
      <c r="N210" s="274">
        <f>F210+J210-H210</f>
        <v>0</v>
      </c>
      <c r="O210" s="39"/>
    </row>
    <row r="211" spans="1:15" ht="17.25" hidden="1">
      <c r="A211" s="20"/>
      <c r="B211" s="42">
        <v>4112</v>
      </c>
      <c r="C211" s="15" t="s">
        <v>777</v>
      </c>
      <c r="D211" s="20"/>
      <c r="E211" s="39"/>
      <c r="F211" s="19">
        <v>0</v>
      </c>
      <c r="G211" s="39"/>
      <c r="H211" s="274">
        <v>0</v>
      </c>
      <c r="I211" s="320"/>
      <c r="J211" s="274">
        <v>0</v>
      </c>
      <c r="K211" s="320"/>
      <c r="L211" s="321"/>
      <c r="M211" s="320"/>
      <c r="N211" s="274">
        <f>F211+J211-H211</f>
        <v>0</v>
      </c>
      <c r="O211" s="39"/>
    </row>
    <row r="212" spans="1:15" ht="17.25" hidden="1">
      <c r="A212" s="20"/>
      <c r="B212" s="42">
        <v>4118</v>
      </c>
      <c r="C212" s="15" t="s">
        <v>778</v>
      </c>
      <c r="D212" s="20"/>
      <c r="E212" s="39"/>
      <c r="F212" s="19">
        <v>0</v>
      </c>
      <c r="G212" s="39"/>
      <c r="H212" s="321">
        <v>0</v>
      </c>
      <c r="I212" s="320"/>
      <c r="J212" s="274">
        <v>0</v>
      </c>
      <c r="K212" s="320"/>
      <c r="L212" s="321"/>
      <c r="M212" s="320"/>
      <c r="N212" s="274">
        <f>F212+J212-H212</f>
        <v>0</v>
      </c>
      <c r="O212" s="39"/>
    </row>
    <row r="213" spans="1:15" ht="15">
      <c r="A213" s="20"/>
      <c r="B213" s="42"/>
      <c r="C213" s="15"/>
      <c r="D213" s="20"/>
      <c r="E213" s="39"/>
      <c r="F213" s="19"/>
      <c r="G213" s="39"/>
      <c r="H213" s="321"/>
      <c r="I213" s="320"/>
      <c r="J213" s="274"/>
      <c r="K213" s="320"/>
      <c r="L213" s="321"/>
      <c r="M213" s="320"/>
      <c r="N213" s="274"/>
      <c r="O213" s="39"/>
    </row>
    <row r="214" spans="1:15" ht="18" hidden="1">
      <c r="A214" s="40">
        <v>412</v>
      </c>
      <c r="B214" s="20"/>
      <c r="C214" s="2" t="s">
        <v>109</v>
      </c>
      <c r="D214" s="20"/>
      <c r="E214" s="39"/>
      <c r="F214" s="28">
        <v>0</v>
      </c>
      <c r="G214" s="39"/>
      <c r="H214" s="327"/>
      <c r="I214" s="320"/>
      <c r="J214" s="327"/>
      <c r="K214" s="320"/>
      <c r="L214" s="321"/>
      <c r="M214" s="320"/>
      <c r="N214" s="327">
        <f>F214+J214-H214</f>
        <v>0</v>
      </c>
      <c r="O214" s="39"/>
    </row>
    <row r="215" spans="1:15" ht="18" hidden="1">
      <c r="A215" s="40"/>
      <c r="B215" s="20"/>
      <c r="C215" s="2"/>
      <c r="D215" s="20"/>
      <c r="E215" s="39"/>
      <c r="F215" s="19"/>
      <c r="G215" s="39"/>
      <c r="H215" s="327"/>
      <c r="I215" s="320"/>
      <c r="J215" s="327"/>
      <c r="K215" s="320"/>
      <c r="L215" s="321"/>
      <c r="M215" s="320"/>
      <c r="N215" s="327"/>
      <c r="O215" s="39"/>
    </row>
    <row r="216" spans="1:15" ht="15.75">
      <c r="A216" s="40">
        <v>413</v>
      </c>
      <c r="B216" s="20"/>
      <c r="C216" s="2" t="s">
        <v>292</v>
      </c>
      <c r="D216" s="20"/>
      <c r="E216" s="39"/>
      <c r="F216" s="28">
        <v>0</v>
      </c>
      <c r="G216" s="39"/>
      <c r="H216" s="327">
        <v>82135246</v>
      </c>
      <c r="I216" s="320"/>
      <c r="J216" s="327">
        <v>2829235685</v>
      </c>
      <c r="K216" s="320"/>
      <c r="L216" s="327"/>
      <c r="M216" s="320"/>
      <c r="N216" s="327">
        <f>F216+J216-H216</f>
        <v>2747100439</v>
      </c>
      <c r="O216" s="39"/>
    </row>
    <row r="217" spans="1:15" ht="15">
      <c r="A217" s="20"/>
      <c r="B217" s="20"/>
      <c r="C217" s="15"/>
      <c r="D217" s="20"/>
      <c r="E217" s="39"/>
      <c r="F217" s="20"/>
      <c r="G217" s="39"/>
      <c r="H217" s="321"/>
      <c r="I217" s="320"/>
      <c r="J217" s="321"/>
      <c r="K217" s="320"/>
      <c r="L217" s="321"/>
      <c r="M217" s="320"/>
      <c r="N217" s="321"/>
      <c r="O217" s="39"/>
    </row>
    <row r="218" spans="1:15" ht="15.75">
      <c r="A218" s="40">
        <v>414</v>
      </c>
      <c r="B218" s="20"/>
      <c r="C218" s="2" t="s">
        <v>1080</v>
      </c>
      <c r="D218" s="20"/>
      <c r="E218" s="39"/>
      <c r="F218" s="28">
        <v>93447585165</v>
      </c>
      <c r="G218" s="39"/>
      <c r="H218" s="327">
        <v>0</v>
      </c>
      <c r="I218" s="320"/>
      <c r="J218" s="327">
        <v>53151374331</v>
      </c>
      <c r="K218" s="320"/>
      <c r="L218" s="321"/>
      <c r="M218" s="320"/>
      <c r="N218" s="327">
        <f>F218+J218-H218</f>
        <v>146598959496</v>
      </c>
      <c r="O218" s="39"/>
    </row>
    <row r="219" spans="1:15" ht="15.75">
      <c r="A219" s="40"/>
      <c r="B219" s="20"/>
      <c r="C219" s="2"/>
      <c r="D219" s="20"/>
      <c r="E219" s="39"/>
      <c r="F219" s="28"/>
      <c r="G219" s="39"/>
      <c r="H219" s="327"/>
      <c r="I219" s="320"/>
      <c r="J219" s="327"/>
      <c r="K219" s="320"/>
      <c r="L219" s="321"/>
      <c r="M219" s="320"/>
      <c r="N219" s="327"/>
      <c r="O219" s="39"/>
    </row>
    <row r="220" spans="1:15" ht="15.75">
      <c r="A220" s="40">
        <v>415</v>
      </c>
      <c r="B220" s="20"/>
      <c r="C220" s="2" t="s">
        <v>291</v>
      </c>
      <c r="D220" s="20"/>
      <c r="E220" s="39"/>
      <c r="F220" s="28">
        <v>15911903587</v>
      </c>
      <c r="G220" s="39"/>
      <c r="H220" s="327">
        <v>0</v>
      </c>
      <c r="I220" s="320"/>
      <c r="J220" s="327">
        <v>0</v>
      </c>
      <c r="K220" s="320"/>
      <c r="L220" s="321"/>
      <c r="M220" s="320"/>
      <c r="N220" s="327">
        <f>F220+J220-H220</f>
        <v>15911903587</v>
      </c>
      <c r="O220" s="39"/>
    </row>
    <row r="221" spans="1:15" ht="15.75">
      <c r="A221" s="40"/>
      <c r="B221" s="20"/>
      <c r="C221" s="2"/>
      <c r="D221" s="20"/>
      <c r="E221" s="39"/>
      <c r="F221" s="28"/>
      <c r="G221" s="39"/>
      <c r="H221" s="160"/>
      <c r="I221" s="161"/>
      <c r="J221" s="160"/>
      <c r="K221" s="161"/>
      <c r="L221" s="159"/>
      <c r="M221" s="161"/>
      <c r="N221" s="160"/>
      <c r="O221" s="39"/>
    </row>
    <row r="222" spans="1:15" ht="18" hidden="1">
      <c r="A222" s="40">
        <v>418</v>
      </c>
      <c r="B222" s="20"/>
      <c r="C222" s="2" t="s">
        <v>681</v>
      </c>
      <c r="D222" s="20"/>
      <c r="E222" s="39"/>
      <c r="F222" s="28">
        <v>0</v>
      </c>
      <c r="G222" s="39"/>
      <c r="H222" s="160">
        <v>0</v>
      </c>
      <c r="I222" s="161"/>
      <c r="J222" s="160">
        <v>0</v>
      </c>
      <c r="K222" s="161"/>
      <c r="L222" s="159"/>
      <c r="M222" s="161"/>
      <c r="N222" s="160">
        <f>F222+J222-H222</f>
        <v>0</v>
      </c>
      <c r="O222" s="39"/>
    </row>
    <row r="223" spans="1:15" ht="18" hidden="1">
      <c r="A223" s="40"/>
      <c r="B223" s="20"/>
      <c r="C223" s="2"/>
      <c r="D223" s="20"/>
      <c r="E223" s="39"/>
      <c r="F223" s="28"/>
      <c r="G223" s="39"/>
      <c r="H223" s="160"/>
      <c r="I223" s="161"/>
      <c r="J223" s="160"/>
      <c r="K223" s="161"/>
      <c r="L223" s="159"/>
      <c r="M223" s="161"/>
      <c r="N223" s="160"/>
      <c r="O223" s="39"/>
    </row>
    <row r="224" spans="1:15" ht="18" hidden="1">
      <c r="A224" s="40">
        <v>419</v>
      </c>
      <c r="B224" s="20"/>
      <c r="C224" s="2" t="s">
        <v>682</v>
      </c>
      <c r="D224" s="20"/>
      <c r="E224" s="39"/>
      <c r="F224" s="28">
        <v>0</v>
      </c>
      <c r="G224" s="39"/>
      <c r="H224" s="160">
        <v>0</v>
      </c>
      <c r="I224" s="161"/>
      <c r="J224" s="160">
        <v>0</v>
      </c>
      <c r="K224" s="161"/>
      <c r="L224" s="159"/>
      <c r="M224" s="161"/>
      <c r="N224" s="160">
        <f>F224+J224-H224</f>
        <v>0</v>
      </c>
      <c r="O224" s="39"/>
    </row>
    <row r="225" spans="1:15" ht="18" hidden="1">
      <c r="A225" s="40"/>
      <c r="B225" s="20"/>
      <c r="C225" s="2"/>
      <c r="D225" s="20"/>
      <c r="E225" s="39"/>
      <c r="F225" s="28"/>
      <c r="G225" s="39"/>
      <c r="H225" s="160"/>
      <c r="I225" s="161"/>
      <c r="J225" s="160"/>
      <c r="K225" s="161"/>
      <c r="L225" s="159"/>
      <c r="M225" s="161"/>
      <c r="N225" s="160"/>
      <c r="O225" s="39"/>
    </row>
    <row r="226" spans="1:15" ht="15.75">
      <c r="A226" s="40">
        <v>421</v>
      </c>
      <c r="B226" s="20"/>
      <c r="C226" s="2" t="s">
        <v>110</v>
      </c>
      <c r="D226" s="20"/>
      <c r="E226" s="39"/>
      <c r="F226" s="28">
        <v>69481749760</v>
      </c>
      <c r="G226" s="39"/>
      <c r="H226" s="327">
        <v>68151374331</v>
      </c>
      <c r="I226" s="320"/>
      <c r="J226" s="327">
        <v>158426172258</v>
      </c>
      <c r="K226" s="320"/>
      <c r="L226" s="321"/>
      <c r="M226" s="320"/>
      <c r="N226" s="327">
        <f>F226+J226-H226</f>
        <v>159756547687</v>
      </c>
      <c r="O226" s="39"/>
    </row>
    <row r="227" spans="1:15" ht="15">
      <c r="A227" s="20"/>
      <c r="B227" s="20"/>
      <c r="C227" s="15"/>
      <c r="D227" s="20"/>
      <c r="E227" s="39"/>
      <c r="F227" s="20"/>
      <c r="G227" s="39"/>
      <c r="H227" s="159"/>
      <c r="I227" s="161"/>
      <c r="J227" s="159"/>
      <c r="K227" s="39"/>
      <c r="L227" s="20"/>
      <c r="M227" s="39"/>
      <c r="N227" s="20"/>
      <c r="O227" s="39"/>
    </row>
    <row r="228" spans="1:15" ht="15.75">
      <c r="A228" s="40">
        <v>431</v>
      </c>
      <c r="B228" s="20"/>
      <c r="C228" s="2" t="s">
        <v>111</v>
      </c>
      <c r="D228" s="20"/>
      <c r="E228" s="39"/>
      <c r="F228" s="28">
        <f>SUM(F229:F231)-SUM(D229:D231)</f>
        <v>25626262344</v>
      </c>
      <c r="G228" s="39"/>
      <c r="H228" s="327">
        <f>SUM(H229:H231)</f>
        <v>17261476097</v>
      </c>
      <c r="I228" s="329"/>
      <c r="J228" s="327">
        <f>SUM(J229:J231)</f>
        <v>0</v>
      </c>
      <c r="K228" s="320"/>
      <c r="L228" s="327"/>
      <c r="M228" s="320"/>
      <c r="N228" s="327">
        <f>J228+F228-H228</f>
        <v>8364786247</v>
      </c>
      <c r="O228" s="39"/>
    </row>
    <row r="229" spans="1:15" ht="15">
      <c r="A229" s="20"/>
      <c r="B229" s="42">
        <v>4311</v>
      </c>
      <c r="C229" s="15" t="s">
        <v>112</v>
      </c>
      <c r="D229" s="19"/>
      <c r="E229" s="39"/>
      <c r="F229" s="19">
        <v>18156920657</v>
      </c>
      <c r="G229" s="39"/>
      <c r="H229" s="274">
        <v>10159681564</v>
      </c>
      <c r="I229" s="320"/>
      <c r="J229" s="274">
        <v>0</v>
      </c>
      <c r="K229" s="320"/>
      <c r="L229" s="274"/>
      <c r="M229" s="320"/>
      <c r="N229" s="274">
        <f>F229+J229-H229</f>
        <v>7997239093</v>
      </c>
      <c r="O229" s="39"/>
    </row>
    <row r="230" spans="1:15" ht="15">
      <c r="A230" s="20"/>
      <c r="B230" s="42">
        <v>4312</v>
      </c>
      <c r="C230" s="15" t="s">
        <v>113</v>
      </c>
      <c r="D230" s="19"/>
      <c r="E230" s="39"/>
      <c r="F230" s="19">
        <v>6084195996</v>
      </c>
      <c r="G230" s="39"/>
      <c r="H230" s="274">
        <v>6913534557</v>
      </c>
      <c r="I230" s="320"/>
      <c r="J230" s="274">
        <v>0</v>
      </c>
      <c r="K230" s="320"/>
      <c r="L230" s="274"/>
      <c r="M230" s="320"/>
      <c r="N230" s="274">
        <f>F230+J230-H230</f>
        <v>-829338561</v>
      </c>
      <c r="O230" s="39"/>
    </row>
    <row r="231" spans="1:15" ht="15">
      <c r="A231" s="20"/>
      <c r="B231" s="42">
        <v>4313</v>
      </c>
      <c r="C231" s="15" t="s">
        <v>160</v>
      </c>
      <c r="D231" s="20"/>
      <c r="E231" s="39"/>
      <c r="F231" s="19">
        <v>1385145691</v>
      </c>
      <c r="G231" s="39"/>
      <c r="H231" s="274">
        <v>188259976</v>
      </c>
      <c r="I231" s="320"/>
      <c r="J231" s="274">
        <v>0</v>
      </c>
      <c r="K231" s="320"/>
      <c r="L231" s="321"/>
      <c r="M231" s="320"/>
      <c r="N231" s="274">
        <f>F231+J231-H231</f>
        <v>1196885715</v>
      </c>
      <c r="O231" s="39"/>
    </row>
    <row r="232" spans="1:15" ht="15">
      <c r="A232" s="20"/>
      <c r="B232" s="42"/>
      <c r="C232" s="15"/>
      <c r="D232" s="20"/>
      <c r="E232" s="39"/>
      <c r="F232" s="19"/>
      <c r="G232" s="39"/>
      <c r="H232" s="274"/>
      <c r="I232" s="320"/>
      <c r="J232" s="274"/>
      <c r="K232" s="320"/>
      <c r="L232" s="321"/>
      <c r="M232" s="320"/>
      <c r="N232" s="274"/>
      <c r="O232" s="39"/>
    </row>
    <row r="233" spans="1:15" ht="18" hidden="1">
      <c r="A233" s="40">
        <v>441</v>
      </c>
      <c r="B233" s="20"/>
      <c r="C233" s="2" t="s">
        <v>114</v>
      </c>
      <c r="D233" s="20"/>
      <c r="E233" s="39"/>
      <c r="F233" s="28">
        <v>0</v>
      </c>
      <c r="G233" s="39"/>
      <c r="H233" s="327">
        <v>0</v>
      </c>
      <c r="I233" s="320"/>
      <c r="J233" s="327">
        <v>0</v>
      </c>
      <c r="K233" s="320"/>
      <c r="L233" s="321"/>
      <c r="M233" s="320"/>
      <c r="N233" s="327">
        <f>F233+J233-H233</f>
        <v>0</v>
      </c>
      <c r="O233" s="39"/>
    </row>
    <row r="234" spans="1:15" ht="17.25" hidden="1">
      <c r="A234" s="20"/>
      <c r="B234" s="20"/>
      <c r="C234" s="15"/>
      <c r="D234" s="20"/>
      <c r="E234" s="39"/>
      <c r="F234" s="20"/>
      <c r="G234" s="39"/>
      <c r="H234" s="321"/>
      <c r="I234" s="320"/>
      <c r="J234" s="321"/>
      <c r="K234" s="320"/>
      <c r="L234" s="321"/>
      <c r="M234" s="320"/>
      <c r="N234" s="321"/>
      <c r="O234" s="39"/>
    </row>
    <row r="235" spans="1:15" ht="18" hidden="1">
      <c r="A235" s="40">
        <v>461</v>
      </c>
      <c r="B235" s="20"/>
      <c r="C235" s="2" t="s">
        <v>115</v>
      </c>
      <c r="D235" s="20"/>
      <c r="E235" s="39"/>
      <c r="F235" s="28">
        <f>SUM(F236:F237)-SUM(D236:D237)</f>
        <v>0</v>
      </c>
      <c r="G235" s="39"/>
      <c r="H235" s="327">
        <f>SUM(H236:H237)</f>
        <v>0</v>
      </c>
      <c r="I235" s="320"/>
      <c r="J235" s="327">
        <f>SUM(J236:J237)</f>
        <v>0</v>
      </c>
      <c r="K235" s="320"/>
      <c r="L235" s="321"/>
      <c r="M235" s="320"/>
      <c r="N235" s="327">
        <f>SUM(N236:N237)-SUM(L236:L237)</f>
        <v>0</v>
      </c>
      <c r="O235" s="39"/>
    </row>
    <row r="236" spans="1:15" ht="18" hidden="1">
      <c r="A236" s="40"/>
      <c r="B236" s="20"/>
      <c r="C236" s="15"/>
      <c r="D236" s="20"/>
      <c r="E236" s="39"/>
      <c r="F236" s="19"/>
      <c r="G236" s="39"/>
      <c r="H236" s="274"/>
      <c r="I236" s="320"/>
      <c r="J236" s="274"/>
      <c r="K236" s="320"/>
      <c r="L236" s="321"/>
      <c r="M236" s="320"/>
      <c r="N236" s="274">
        <f>F236+J236-H236</f>
        <v>0</v>
      </c>
      <c r="O236" s="39"/>
    </row>
    <row r="237" spans="1:15" ht="18" hidden="1">
      <c r="A237" s="40"/>
      <c r="B237" s="20"/>
      <c r="C237" s="15" t="s">
        <v>514</v>
      </c>
      <c r="D237" s="20"/>
      <c r="E237" s="39"/>
      <c r="F237" s="19"/>
      <c r="G237" s="39"/>
      <c r="H237" s="274"/>
      <c r="I237" s="320"/>
      <c r="J237" s="274"/>
      <c r="K237" s="320"/>
      <c r="L237" s="321"/>
      <c r="M237" s="320"/>
      <c r="N237" s="274">
        <f>F237+J237-H237</f>
        <v>0</v>
      </c>
      <c r="O237" s="39"/>
    </row>
    <row r="238" spans="1:15" ht="18" hidden="1">
      <c r="A238" s="40"/>
      <c r="B238" s="20"/>
      <c r="C238" s="15"/>
      <c r="D238" s="20"/>
      <c r="E238" s="39"/>
      <c r="F238" s="19"/>
      <c r="G238" s="39"/>
      <c r="H238" s="274"/>
      <c r="I238" s="320"/>
      <c r="J238" s="274"/>
      <c r="K238" s="320"/>
      <c r="L238" s="321"/>
      <c r="M238" s="320"/>
      <c r="N238" s="274"/>
      <c r="O238" s="39"/>
    </row>
    <row r="239" spans="1:15" ht="18" hidden="1">
      <c r="A239" s="40">
        <v>466</v>
      </c>
      <c r="B239" s="20"/>
      <c r="C239" s="2" t="s">
        <v>117</v>
      </c>
      <c r="D239" s="20"/>
      <c r="E239" s="39"/>
      <c r="F239" s="28">
        <v>0</v>
      </c>
      <c r="G239" s="39"/>
      <c r="H239" s="327">
        <v>0</v>
      </c>
      <c r="I239" s="320"/>
      <c r="J239" s="327">
        <v>0</v>
      </c>
      <c r="K239" s="320"/>
      <c r="L239" s="321"/>
      <c r="M239" s="320"/>
      <c r="N239" s="327">
        <f>F239+J239-H239</f>
        <v>0</v>
      </c>
      <c r="O239" s="39"/>
    </row>
    <row r="240" spans="1:15" ht="18" hidden="1">
      <c r="A240" s="40"/>
      <c r="B240" s="20"/>
      <c r="C240" s="2"/>
      <c r="D240" s="20"/>
      <c r="E240" s="39"/>
      <c r="F240" s="28"/>
      <c r="G240" s="39"/>
      <c r="H240" s="327"/>
      <c r="I240" s="320"/>
      <c r="J240" s="327"/>
      <c r="K240" s="320"/>
      <c r="L240" s="321"/>
      <c r="M240" s="320"/>
      <c r="N240" s="327"/>
      <c r="O240" s="39"/>
    </row>
    <row r="241" spans="1:15" ht="15.75">
      <c r="A241" s="40"/>
      <c r="B241" s="20"/>
      <c r="C241" s="2" t="s">
        <v>118</v>
      </c>
      <c r="D241" s="20"/>
      <c r="E241" s="39"/>
      <c r="F241" s="28"/>
      <c r="G241" s="39"/>
      <c r="H241" s="327"/>
      <c r="I241" s="320"/>
      <c r="J241" s="327"/>
      <c r="K241" s="320"/>
      <c r="L241" s="321"/>
      <c r="M241" s="320"/>
      <c r="N241" s="327"/>
      <c r="O241" s="39"/>
    </row>
    <row r="242" spans="1:15" ht="15.75">
      <c r="A242" s="40">
        <v>511</v>
      </c>
      <c r="B242" s="20"/>
      <c r="C242" s="2" t="s">
        <v>293</v>
      </c>
      <c r="D242" s="20"/>
      <c r="E242" s="39"/>
      <c r="F242" s="28"/>
      <c r="G242" s="39"/>
      <c r="H242" s="327">
        <v>440322546108</v>
      </c>
      <c r="I242" s="320"/>
      <c r="J242" s="327">
        <v>440322546108</v>
      </c>
      <c r="K242" s="320"/>
      <c r="L242" s="274"/>
      <c r="M242" s="320"/>
      <c r="N242" s="327"/>
      <c r="O242" s="39"/>
    </row>
    <row r="243" spans="1:15" ht="15.75">
      <c r="A243" s="40"/>
      <c r="B243" s="20"/>
      <c r="C243" s="2"/>
      <c r="D243" s="20"/>
      <c r="E243" s="39"/>
      <c r="F243" s="28"/>
      <c r="G243" s="39"/>
      <c r="H243" s="160"/>
      <c r="I243" s="161"/>
      <c r="J243" s="160"/>
      <c r="K243" s="39"/>
      <c r="L243" s="19"/>
      <c r="M243" s="39"/>
      <c r="N243" s="28"/>
      <c r="O243" s="39"/>
    </row>
    <row r="244" spans="1:15" ht="18" hidden="1">
      <c r="A244" s="40">
        <v>512</v>
      </c>
      <c r="B244" s="20"/>
      <c r="C244" s="2" t="s">
        <v>294</v>
      </c>
      <c r="D244" s="20"/>
      <c r="E244" s="39"/>
      <c r="F244" s="28"/>
      <c r="G244" s="39"/>
      <c r="H244" s="160"/>
      <c r="I244" s="161"/>
      <c r="J244" s="160"/>
      <c r="K244" s="39"/>
      <c r="L244" s="19"/>
      <c r="M244" s="39"/>
      <c r="N244" s="28"/>
      <c r="O244" s="39"/>
    </row>
    <row r="245" spans="1:15" ht="18" hidden="1">
      <c r="A245" s="40"/>
      <c r="B245" s="20"/>
      <c r="C245" s="2"/>
      <c r="D245" s="20"/>
      <c r="E245" s="39"/>
      <c r="F245" s="28"/>
      <c r="G245" s="39"/>
      <c r="H245" s="160"/>
      <c r="I245" s="161"/>
      <c r="J245" s="160"/>
      <c r="K245" s="39"/>
      <c r="L245" s="19"/>
      <c r="M245" s="39"/>
      <c r="N245" s="28"/>
      <c r="O245" s="39"/>
    </row>
    <row r="246" spans="1:15" ht="15.75">
      <c r="A246" s="40">
        <v>515</v>
      </c>
      <c r="B246" s="20"/>
      <c r="C246" s="2" t="s">
        <v>295</v>
      </c>
      <c r="D246" s="20"/>
      <c r="E246" s="39"/>
      <c r="F246" s="28"/>
      <c r="G246" s="39"/>
      <c r="H246" s="327">
        <v>14428416194</v>
      </c>
      <c r="I246" s="320"/>
      <c r="J246" s="327">
        <f>H246</f>
        <v>14428416194</v>
      </c>
      <c r="K246" s="39"/>
      <c r="L246" s="19"/>
      <c r="M246" s="39"/>
      <c r="N246" s="28"/>
      <c r="O246" s="39"/>
    </row>
    <row r="247" spans="1:15" ht="15.75">
      <c r="A247" s="40"/>
      <c r="B247" s="20"/>
      <c r="C247" s="2"/>
      <c r="D247" s="20"/>
      <c r="E247" s="39"/>
      <c r="F247" s="28"/>
      <c r="G247" s="39"/>
      <c r="H247" s="160"/>
      <c r="I247" s="161"/>
      <c r="J247" s="160"/>
      <c r="K247" s="39"/>
      <c r="L247" s="19"/>
      <c r="M247" s="39"/>
      <c r="N247" s="28"/>
      <c r="O247" s="39"/>
    </row>
    <row r="248" spans="1:15" ht="18" hidden="1">
      <c r="A248" s="40">
        <v>521</v>
      </c>
      <c r="B248" s="20"/>
      <c r="C248" s="2" t="s">
        <v>298</v>
      </c>
      <c r="D248" s="20"/>
      <c r="E248" s="39"/>
      <c r="F248" s="28"/>
      <c r="G248" s="39"/>
      <c r="H248" s="160"/>
      <c r="I248" s="161"/>
      <c r="J248" s="160"/>
      <c r="K248" s="39"/>
      <c r="L248" s="19"/>
      <c r="M248" s="39"/>
      <c r="N248" s="28"/>
      <c r="O248" s="39"/>
    </row>
    <row r="249" spans="1:15" ht="18" hidden="1">
      <c r="A249" s="40"/>
      <c r="B249" s="20"/>
      <c r="C249" s="2"/>
      <c r="D249" s="20"/>
      <c r="E249" s="39"/>
      <c r="F249" s="28"/>
      <c r="G249" s="39"/>
      <c r="H249" s="160"/>
      <c r="I249" s="161"/>
      <c r="J249" s="160"/>
      <c r="K249" s="39"/>
      <c r="L249" s="19"/>
      <c r="M249" s="39"/>
      <c r="N249" s="28"/>
      <c r="O249" s="39"/>
    </row>
    <row r="250" spans="1:15" ht="18" hidden="1">
      <c r="A250" s="40">
        <v>531</v>
      </c>
      <c r="B250" s="20"/>
      <c r="C250" s="2" t="s">
        <v>299</v>
      </c>
      <c r="D250" s="20"/>
      <c r="E250" s="39"/>
      <c r="F250" s="28"/>
      <c r="G250" s="39"/>
      <c r="H250" s="160"/>
      <c r="I250" s="161"/>
      <c r="J250" s="160"/>
      <c r="K250" s="39"/>
      <c r="L250" s="19"/>
      <c r="M250" s="39"/>
      <c r="N250" s="28"/>
      <c r="O250" s="39"/>
    </row>
    <row r="251" spans="1:15" ht="18" hidden="1">
      <c r="A251" s="40"/>
      <c r="B251" s="20"/>
      <c r="C251" s="2"/>
      <c r="D251" s="20"/>
      <c r="E251" s="39"/>
      <c r="F251" s="28"/>
      <c r="G251" s="39"/>
      <c r="H251" s="160"/>
      <c r="I251" s="161"/>
      <c r="J251" s="160"/>
      <c r="K251" s="39"/>
      <c r="L251" s="19"/>
      <c r="M251" s="39"/>
      <c r="N251" s="28"/>
      <c r="O251" s="39"/>
    </row>
    <row r="252" spans="1:15" ht="18" hidden="1">
      <c r="A252" s="40">
        <v>532</v>
      </c>
      <c r="B252" s="20"/>
      <c r="C252" s="2" t="s">
        <v>477</v>
      </c>
      <c r="D252" s="20"/>
      <c r="E252" s="39"/>
      <c r="F252" s="28"/>
      <c r="G252" s="39"/>
      <c r="H252" s="160"/>
      <c r="I252" s="161"/>
      <c r="J252" s="160"/>
      <c r="K252" s="39"/>
      <c r="L252" s="19"/>
      <c r="M252" s="39"/>
      <c r="N252" s="28"/>
      <c r="O252" s="39"/>
    </row>
    <row r="253" spans="1:15" ht="18" hidden="1">
      <c r="A253" s="40"/>
      <c r="B253" s="20"/>
      <c r="C253" s="2"/>
      <c r="D253" s="20"/>
      <c r="E253" s="39"/>
      <c r="F253" s="28"/>
      <c r="G253" s="39"/>
      <c r="H253" s="160"/>
      <c r="I253" s="161"/>
      <c r="J253" s="160"/>
      <c r="K253" s="39"/>
      <c r="L253" s="19"/>
      <c r="M253" s="39"/>
      <c r="N253" s="28"/>
      <c r="O253" s="39"/>
    </row>
    <row r="254" spans="1:15" ht="15.75">
      <c r="A254" s="40"/>
      <c r="B254" s="20"/>
      <c r="C254" s="2" t="s">
        <v>296</v>
      </c>
      <c r="D254" s="20"/>
      <c r="E254" s="39"/>
      <c r="F254" s="28"/>
      <c r="G254" s="39"/>
      <c r="H254" s="160"/>
      <c r="I254" s="161"/>
      <c r="J254" s="160"/>
      <c r="K254" s="39"/>
      <c r="L254" s="19"/>
      <c r="M254" s="39"/>
      <c r="N254" s="28"/>
      <c r="O254" s="39"/>
    </row>
    <row r="255" spans="1:15" ht="18" hidden="1">
      <c r="A255" s="40">
        <v>611</v>
      </c>
      <c r="B255" s="20"/>
      <c r="C255" s="2" t="s">
        <v>297</v>
      </c>
      <c r="D255" s="20"/>
      <c r="E255" s="39"/>
      <c r="F255" s="28"/>
      <c r="G255" s="39"/>
      <c r="H255" s="160"/>
      <c r="I255" s="161"/>
      <c r="J255" s="160"/>
      <c r="K255" s="39"/>
      <c r="L255" s="19"/>
      <c r="M255" s="39"/>
      <c r="N255" s="28"/>
      <c r="O255" s="39"/>
    </row>
    <row r="256" spans="1:15" ht="18" hidden="1">
      <c r="A256" s="40"/>
      <c r="B256" s="20"/>
      <c r="C256" s="2"/>
      <c r="D256" s="20"/>
      <c r="E256" s="39"/>
      <c r="F256" s="28"/>
      <c r="G256" s="39"/>
      <c r="H256" s="160"/>
      <c r="I256" s="161"/>
      <c r="J256" s="160"/>
      <c r="K256" s="39"/>
      <c r="L256" s="19"/>
      <c r="M256" s="39"/>
      <c r="N256" s="28"/>
      <c r="O256" s="39"/>
    </row>
    <row r="257" spans="1:15" ht="15.75">
      <c r="A257" s="40">
        <v>621</v>
      </c>
      <c r="B257" s="20"/>
      <c r="C257" s="2" t="s">
        <v>119</v>
      </c>
      <c r="D257" s="20"/>
      <c r="E257" s="39"/>
      <c r="F257" s="28"/>
      <c r="G257" s="39"/>
      <c r="H257" s="327">
        <v>55833311044</v>
      </c>
      <c r="I257" s="320"/>
      <c r="J257" s="327">
        <f>H257</f>
        <v>55833311044</v>
      </c>
      <c r="K257" s="320"/>
      <c r="L257" s="274"/>
      <c r="M257" s="320"/>
      <c r="N257" s="327"/>
      <c r="O257" s="39"/>
    </row>
    <row r="258" spans="1:15" ht="15.75" customHeight="1">
      <c r="A258" s="40"/>
      <c r="B258" s="20"/>
      <c r="C258" s="2"/>
      <c r="D258" s="20"/>
      <c r="E258" s="39"/>
      <c r="F258" s="28"/>
      <c r="G258" s="39"/>
      <c r="H258" s="327"/>
      <c r="I258" s="320"/>
      <c r="J258" s="327"/>
      <c r="K258" s="320"/>
      <c r="L258" s="274"/>
      <c r="M258" s="320"/>
      <c r="N258" s="327"/>
      <c r="O258" s="39"/>
    </row>
    <row r="259" spans="1:15" ht="15.75">
      <c r="A259" s="40">
        <v>622</v>
      </c>
      <c r="B259" s="20"/>
      <c r="C259" s="2" t="s">
        <v>120</v>
      </c>
      <c r="D259" s="20"/>
      <c r="E259" s="39"/>
      <c r="F259" s="28"/>
      <c r="G259" s="39"/>
      <c r="H259" s="327">
        <v>167980870421</v>
      </c>
      <c r="I259" s="320"/>
      <c r="J259" s="327">
        <f>H259</f>
        <v>167980870421</v>
      </c>
      <c r="K259" s="320"/>
      <c r="L259" s="274"/>
      <c r="M259" s="320"/>
      <c r="N259" s="327"/>
      <c r="O259" s="39"/>
    </row>
    <row r="260" spans="1:15" ht="15.75">
      <c r="A260" s="40"/>
      <c r="B260" s="20"/>
      <c r="C260" s="2"/>
      <c r="D260" s="20"/>
      <c r="E260" s="39"/>
      <c r="F260" s="28"/>
      <c r="G260" s="39"/>
      <c r="H260" s="327"/>
      <c r="I260" s="320"/>
      <c r="J260" s="327"/>
      <c r="K260" s="320"/>
      <c r="L260" s="274"/>
      <c r="M260" s="320"/>
      <c r="N260" s="327"/>
      <c r="O260" s="39"/>
    </row>
    <row r="261" spans="1:15" ht="18" hidden="1">
      <c r="A261" s="40">
        <v>623</v>
      </c>
      <c r="B261" s="20"/>
      <c r="C261" s="2" t="s">
        <v>768</v>
      </c>
      <c r="D261" s="20"/>
      <c r="E261" s="39"/>
      <c r="F261" s="28"/>
      <c r="G261" s="39"/>
      <c r="H261" s="327"/>
      <c r="I261" s="320"/>
      <c r="J261" s="327"/>
      <c r="K261" s="320"/>
      <c r="L261" s="274"/>
      <c r="M261" s="320"/>
      <c r="N261" s="327"/>
      <c r="O261" s="39"/>
    </row>
    <row r="262" spans="1:15" ht="18" hidden="1">
      <c r="A262" s="40"/>
      <c r="B262" s="20"/>
      <c r="C262" s="2"/>
      <c r="D262" s="20"/>
      <c r="E262" s="39"/>
      <c r="F262" s="28"/>
      <c r="G262" s="39"/>
      <c r="H262" s="327"/>
      <c r="I262" s="320"/>
      <c r="J262" s="327"/>
      <c r="K262" s="320"/>
      <c r="L262" s="274"/>
      <c r="M262" s="320"/>
      <c r="N262" s="327"/>
      <c r="O262" s="39"/>
    </row>
    <row r="263" spans="1:15" ht="15.75">
      <c r="A263" s="40">
        <v>627</v>
      </c>
      <c r="B263" s="20"/>
      <c r="C263" s="2" t="s">
        <v>121</v>
      </c>
      <c r="D263" s="20"/>
      <c r="E263" s="39"/>
      <c r="F263" s="28"/>
      <c r="G263" s="39"/>
      <c r="H263" s="327">
        <v>72496662303</v>
      </c>
      <c r="I263" s="320"/>
      <c r="J263" s="327">
        <f>H263</f>
        <v>72496662303</v>
      </c>
      <c r="K263" s="320"/>
      <c r="L263" s="274"/>
      <c r="M263" s="320"/>
      <c r="N263" s="327"/>
      <c r="O263" s="39"/>
    </row>
    <row r="264" spans="1:15" ht="15.75" customHeight="1">
      <c r="A264" s="40"/>
      <c r="B264" s="20"/>
      <c r="C264" s="2"/>
      <c r="D264" s="20"/>
      <c r="E264" s="39"/>
      <c r="F264" s="28"/>
      <c r="G264" s="39"/>
      <c r="H264" s="327"/>
      <c r="I264" s="320"/>
      <c r="J264" s="327"/>
      <c r="K264" s="320"/>
      <c r="L264" s="274"/>
      <c r="M264" s="320"/>
      <c r="N264" s="327"/>
      <c r="O264" s="39"/>
    </row>
    <row r="265" spans="1:15" ht="18" hidden="1">
      <c r="A265" s="40">
        <v>631</v>
      </c>
      <c r="B265" s="20"/>
      <c r="C265" s="2" t="s">
        <v>300</v>
      </c>
      <c r="D265" s="20"/>
      <c r="E265" s="39"/>
      <c r="F265" s="28"/>
      <c r="G265" s="39"/>
      <c r="H265" s="327"/>
      <c r="I265" s="320"/>
      <c r="J265" s="327"/>
      <c r="K265" s="320"/>
      <c r="L265" s="274"/>
      <c r="M265" s="320"/>
      <c r="N265" s="327"/>
      <c r="O265" s="39"/>
    </row>
    <row r="266" spans="1:15" ht="18" hidden="1">
      <c r="A266" s="40"/>
      <c r="B266" s="20"/>
      <c r="C266" s="2"/>
      <c r="D266" s="20"/>
      <c r="E266" s="39"/>
      <c r="F266" s="28"/>
      <c r="G266" s="39"/>
      <c r="H266" s="327"/>
      <c r="I266" s="320"/>
      <c r="J266" s="327"/>
      <c r="K266" s="320"/>
      <c r="L266" s="274"/>
      <c r="M266" s="320"/>
      <c r="N266" s="327"/>
      <c r="O266" s="39"/>
    </row>
    <row r="267" spans="1:15" ht="15.75">
      <c r="A267" s="40">
        <v>632</v>
      </c>
      <c r="B267" s="20"/>
      <c r="C267" s="2" t="s">
        <v>122</v>
      </c>
      <c r="D267" s="20"/>
      <c r="E267" s="39"/>
      <c r="F267" s="28"/>
      <c r="G267" s="39"/>
      <c r="H267" s="327">
        <v>289590961057</v>
      </c>
      <c r="I267" s="320"/>
      <c r="J267" s="327">
        <f>H267</f>
        <v>289590961057</v>
      </c>
      <c r="K267" s="320"/>
      <c r="L267" s="274"/>
      <c r="M267" s="320"/>
      <c r="N267" s="327"/>
      <c r="O267" s="39"/>
    </row>
    <row r="268" spans="1:15" ht="15.75">
      <c r="A268" s="40"/>
      <c r="B268" s="20"/>
      <c r="C268" s="2"/>
      <c r="D268" s="20"/>
      <c r="E268" s="39"/>
      <c r="F268" s="28"/>
      <c r="G268" s="39"/>
      <c r="H268" s="327"/>
      <c r="I268" s="320"/>
      <c r="J268" s="327"/>
      <c r="K268" s="320"/>
      <c r="L268" s="274"/>
      <c r="M268" s="320"/>
      <c r="N268" s="327"/>
      <c r="O268" s="39"/>
    </row>
    <row r="269" spans="1:15" ht="15.75">
      <c r="A269" s="40">
        <v>635</v>
      </c>
      <c r="B269" s="20"/>
      <c r="C269" s="2" t="s">
        <v>492</v>
      </c>
      <c r="D269" s="20"/>
      <c r="E269" s="39"/>
      <c r="F269" s="28"/>
      <c r="G269" s="39"/>
      <c r="H269" s="327">
        <v>2375181708</v>
      </c>
      <c r="I269" s="320"/>
      <c r="J269" s="327">
        <f>H269</f>
        <v>2375181708</v>
      </c>
      <c r="K269" s="320"/>
      <c r="L269" s="274"/>
      <c r="M269" s="320"/>
      <c r="N269" s="327"/>
      <c r="O269" s="39"/>
    </row>
    <row r="270" spans="1:15" ht="15.75" customHeight="1">
      <c r="A270" s="277"/>
      <c r="B270" s="29"/>
      <c r="C270" s="148"/>
      <c r="D270" s="29"/>
      <c r="E270" s="47"/>
      <c r="F270" s="46"/>
      <c r="G270" s="47"/>
      <c r="H270" s="330"/>
      <c r="I270" s="331"/>
      <c r="J270" s="330"/>
      <c r="K270" s="331"/>
      <c r="L270" s="330"/>
      <c r="M270" s="331"/>
      <c r="N270" s="335"/>
      <c r="O270" s="47"/>
    </row>
    <row r="271" spans="1:15" ht="15.75">
      <c r="A271" s="262">
        <v>641</v>
      </c>
      <c r="B271" s="37"/>
      <c r="C271" s="3" t="s">
        <v>123</v>
      </c>
      <c r="D271" s="37"/>
      <c r="E271" s="38"/>
      <c r="F271" s="263"/>
      <c r="G271" s="38"/>
      <c r="H271" s="333">
        <v>4219060243</v>
      </c>
      <c r="I271" s="326"/>
      <c r="J271" s="333">
        <f>H271</f>
        <v>4219060243</v>
      </c>
      <c r="K271" s="326"/>
      <c r="L271" s="336"/>
      <c r="M271" s="326"/>
      <c r="N271" s="333"/>
      <c r="O271" s="38"/>
    </row>
    <row r="272" spans="1:15" ht="15.75">
      <c r="A272" s="40"/>
      <c r="B272" s="20"/>
      <c r="C272" s="2"/>
      <c r="D272" s="20"/>
      <c r="E272" s="39"/>
      <c r="F272" s="28"/>
      <c r="G272" s="39"/>
      <c r="H272" s="327"/>
      <c r="I272" s="320"/>
      <c r="J272" s="327"/>
      <c r="K272" s="320"/>
      <c r="L272" s="274"/>
      <c r="M272" s="320"/>
      <c r="N272" s="327"/>
      <c r="O272" s="39"/>
    </row>
    <row r="273" spans="1:15" ht="15.75">
      <c r="A273" s="40">
        <v>642</v>
      </c>
      <c r="B273" s="20"/>
      <c r="C273" s="2" t="s">
        <v>124</v>
      </c>
      <c r="D273" s="20"/>
      <c r="E273" s="39"/>
      <c r="F273" s="28"/>
      <c r="G273" s="39"/>
      <c r="H273" s="327">
        <v>22871043190</v>
      </c>
      <c r="I273" s="320"/>
      <c r="J273" s="327">
        <f>H273</f>
        <v>22871043190</v>
      </c>
      <c r="K273" s="320"/>
      <c r="L273" s="274"/>
      <c r="M273" s="320"/>
      <c r="N273" s="327"/>
      <c r="O273" s="39"/>
    </row>
    <row r="274" spans="1:15" ht="15.75">
      <c r="A274" s="40"/>
      <c r="B274" s="20"/>
      <c r="C274" s="2"/>
      <c r="D274" s="20"/>
      <c r="E274" s="39"/>
      <c r="F274" s="28"/>
      <c r="G274" s="39"/>
      <c r="H274" s="327"/>
      <c r="I274" s="320"/>
      <c r="J274" s="327"/>
      <c r="K274" s="320"/>
      <c r="L274" s="274"/>
      <c r="M274" s="320"/>
      <c r="N274" s="327"/>
      <c r="O274" s="39"/>
    </row>
    <row r="275" spans="1:15" ht="15.75">
      <c r="A275" s="40"/>
      <c r="B275" s="20"/>
      <c r="C275" s="2" t="s">
        <v>301</v>
      </c>
      <c r="D275" s="20"/>
      <c r="E275" s="39"/>
      <c r="F275" s="28"/>
      <c r="G275" s="39"/>
      <c r="H275" s="327"/>
      <c r="I275" s="320"/>
      <c r="J275" s="327"/>
      <c r="K275" s="320"/>
      <c r="L275" s="274"/>
      <c r="M275" s="320"/>
      <c r="N275" s="327"/>
      <c r="O275" s="39"/>
    </row>
    <row r="276" spans="1:15" ht="15.75">
      <c r="A276" s="40">
        <v>711</v>
      </c>
      <c r="B276" s="20"/>
      <c r="C276" s="2" t="s">
        <v>493</v>
      </c>
      <c r="D276" s="20"/>
      <c r="E276" s="39"/>
      <c r="F276" s="28"/>
      <c r="G276" s="39"/>
      <c r="H276" s="327">
        <v>36313809255</v>
      </c>
      <c r="I276" s="320"/>
      <c r="J276" s="327">
        <f>H276</f>
        <v>36313809255</v>
      </c>
      <c r="K276" s="320"/>
      <c r="L276" s="274"/>
      <c r="M276" s="320"/>
      <c r="N276" s="274"/>
      <c r="O276" s="39"/>
    </row>
    <row r="277" spans="1:15" ht="15.75" customHeight="1" hidden="1">
      <c r="A277" s="20"/>
      <c r="B277" s="20"/>
      <c r="C277" s="15"/>
      <c r="D277" s="20"/>
      <c r="E277" s="39"/>
      <c r="F277" s="19"/>
      <c r="G277" s="39"/>
      <c r="H277" s="321"/>
      <c r="I277" s="320"/>
      <c r="J277" s="321"/>
      <c r="K277" s="320"/>
      <c r="L277" s="274"/>
      <c r="M277" s="320"/>
      <c r="N277" s="321"/>
      <c r="O277" s="39"/>
    </row>
    <row r="278" spans="1:15" ht="15.75">
      <c r="A278" s="40"/>
      <c r="B278" s="20"/>
      <c r="C278" s="2" t="s">
        <v>302</v>
      </c>
      <c r="D278" s="19"/>
      <c r="E278" s="39"/>
      <c r="F278" s="20"/>
      <c r="G278" s="39"/>
      <c r="H278" s="321"/>
      <c r="I278" s="320"/>
      <c r="J278" s="321"/>
      <c r="K278" s="320"/>
      <c r="L278" s="274"/>
      <c r="M278" s="320"/>
      <c r="N278" s="321"/>
      <c r="O278" s="39"/>
    </row>
    <row r="279" spans="1:15" ht="15.75">
      <c r="A279" s="40">
        <v>811</v>
      </c>
      <c r="B279" s="20"/>
      <c r="C279" s="2" t="s">
        <v>494</v>
      </c>
      <c r="D279" s="19"/>
      <c r="E279" s="39"/>
      <c r="F279" s="20"/>
      <c r="G279" s="39"/>
      <c r="H279" s="327">
        <v>11142278769</v>
      </c>
      <c r="I279" s="320"/>
      <c r="J279" s="327">
        <f>H279</f>
        <v>11142278769</v>
      </c>
      <c r="K279" s="320"/>
      <c r="L279" s="274"/>
      <c r="M279" s="320"/>
      <c r="N279" s="321"/>
      <c r="O279" s="39"/>
    </row>
    <row r="280" spans="1:15" ht="15.75" customHeight="1">
      <c r="A280" s="40"/>
      <c r="B280" s="20"/>
      <c r="C280" s="2"/>
      <c r="D280" s="19"/>
      <c r="E280" s="39"/>
      <c r="F280" s="20"/>
      <c r="G280" s="39"/>
      <c r="H280" s="321"/>
      <c r="I280" s="320"/>
      <c r="J280" s="321"/>
      <c r="K280" s="320"/>
      <c r="L280" s="274"/>
      <c r="M280" s="320"/>
      <c r="N280" s="321"/>
      <c r="O280" s="39"/>
    </row>
    <row r="281" spans="1:15" ht="15.75">
      <c r="A281" s="40">
        <v>821</v>
      </c>
      <c r="B281" s="20">
        <v>8211</v>
      </c>
      <c r="C281" s="2" t="s">
        <v>515</v>
      </c>
      <c r="D281" s="19"/>
      <c r="E281" s="39"/>
      <c r="F281" s="20"/>
      <c r="G281" s="39"/>
      <c r="H281" s="327">
        <v>4022616136</v>
      </c>
      <c r="I281" s="320"/>
      <c r="J281" s="327">
        <f>H281</f>
        <v>4022616136</v>
      </c>
      <c r="K281" s="320"/>
      <c r="L281" s="274"/>
      <c r="M281" s="320"/>
      <c r="N281" s="321"/>
      <c r="O281" s="39"/>
    </row>
    <row r="282" spans="1:15" ht="15.75">
      <c r="A282" s="40"/>
      <c r="B282" s="20"/>
      <c r="C282" s="2"/>
      <c r="D282" s="19"/>
      <c r="E282" s="39"/>
      <c r="F282" s="20"/>
      <c r="G282" s="39"/>
      <c r="H282" s="321"/>
      <c r="I282" s="320"/>
      <c r="J282" s="321"/>
      <c r="K282" s="320"/>
      <c r="L282" s="274"/>
      <c r="M282" s="320"/>
      <c r="N282" s="321"/>
      <c r="O282" s="39"/>
    </row>
    <row r="283" spans="1:15" ht="15.75">
      <c r="A283" s="40"/>
      <c r="B283" s="20"/>
      <c r="C283" s="2" t="s">
        <v>542</v>
      </c>
      <c r="D283" s="19"/>
      <c r="E283" s="39"/>
      <c r="F283" s="20"/>
      <c r="G283" s="39"/>
      <c r="H283" s="321"/>
      <c r="I283" s="320"/>
      <c r="J283" s="321"/>
      <c r="K283" s="320"/>
      <c r="L283" s="274"/>
      <c r="M283" s="320"/>
      <c r="N283" s="321"/>
      <c r="O283" s="39"/>
    </row>
    <row r="284" spans="1:15" ht="15.75">
      <c r="A284" s="40">
        <v>911</v>
      </c>
      <c r="B284" s="20"/>
      <c r="C284" s="2" t="s">
        <v>125</v>
      </c>
      <c r="D284" s="19"/>
      <c r="E284" s="39"/>
      <c r="F284" s="20"/>
      <c r="G284" s="39"/>
      <c r="H284" s="327">
        <v>491064771557</v>
      </c>
      <c r="I284" s="320"/>
      <c r="J284" s="327">
        <v>491064771557</v>
      </c>
      <c r="K284" s="320"/>
      <c r="L284" s="274"/>
      <c r="M284" s="320"/>
      <c r="N284" s="274">
        <f>J284-H284</f>
        <v>0</v>
      </c>
      <c r="O284" s="39"/>
    </row>
    <row r="285" spans="1:15" ht="15.75" customHeight="1">
      <c r="A285" s="40"/>
      <c r="B285" s="20"/>
      <c r="C285" s="2"/>
      <c r="D285" s="19"/>
      <c r="E285" s="39"/>
      <c r="F285" s="20"/>
      <c r="G285" s="39"/>
      <c r="H285" s="321"/>
      <c r="I285" s="320"/>
      <c r="J285" s="321"/>
      <c r="K285" s="320"/>
      <c r="L285" s="321"/>
      <c r="M285" s="320"/>
      <c r="N285" s="321"/>
      <c r="O285" s="39"/>
    </row>
    <row r="286" spans="1:15" ht="15.75">
      <c r="A286" s="20"/>
      <c r="B286" s="20"/>
      <c r="C286" s="14" t="s">
        <v>607</v>
      </c>
      <c r="D286" s="160">
        <f>D8+D13+D39+D43+D47+D49+D51+D55+D60+D64+D69+D71+D73+D75+D77+D79+D85+D88+D98+D105+D109+D111+D113+D115+D118+D120+D122+D124+D126+D128+D130+D132+D134+D139+D141+D143+D145+D147+D151+D153+D155+D159+D169+D175+D178+D180+D182+D191+D193+D195+D197+D199+D201+D203+D208+D214+D216+D218+D220+D222+D224+D226+D228+D233+D235+D239+D242+D244+D246+D248+D250+D252+D255+D257+D259+D261+D263+D265+D267+D269+D271+D273+D276+D279+D281+D284</f>
        <v>818375594479</v>
      </c>
      <c r="E286" s="44"/>
      <c r="F286" s="160">
        <f>F8+F13+F39+F43+F47+F49+F51+F55+F60+F64+F69+F71+F73+F75+F77+F79+F85+F88+F98+F105+F109+F111+F113+F115+F118+F120+F122+F124+F126+F128+F130+F132+F134+F139+F141+F143+F145+F147+F151+F153+F155+F159+F169+F175+F178+F180+F182+F191+F193+F195+F197+F199+F201+F203+F208+F214+F216+F218+F220+F222+F224+F226+F228+F233+F235+F239+F242+F244+F246+F248+F250+F252+F255+F257+F259+F261+F263+F265+F267+F269+F271+F273+F276+F279+F281+F284</f>
        <v>818375594479</v>
      </c>
      <c r="G286" s="44"/>
      <c r="H286" s="327">
        <f>H8+H13+H39+H43+H47+H49+H51+H55+H60+H64+H69+H71+H73+H75+H77+H79+H85+H88+H98+H105+H109+H111+H113+H115+H118+H120+H122+H124+H126+H128+H130+H132+H134+H139+H141+H143+H145+H147+H151+H153+H155+H159+H169+H175+H178+H180+H182+H191+H193+H195+H197+H199+H201+H203+H208+H214+H216+H218+H220+H222+H224+H226+H228+H233+H235+H239+H242+H244+H246+H248+H250+H252+H255+H257+H259+H261+H263+H265+H267+H269+H271+H273+H276+H279+H281+H284</f>
        <v>4699514589270</v>
      </c>
      <c r="I286" s="329"/>
      <c r="J286" s="327">
        <f>J8+J13+J39+J43+J47+J49+J51+J55+J60+J64+J69+J71+J73+J75+J77+J79+J85+J88+J98+J105+J109+J111+J113+J115+J118+J120+J122+J124+J126+J128+J130+J132+J134+J139+J141+J143+J145+J147+J151+J153+J155+J159+J169+J175+J178+J180+J182+J191+J193+J195+J197+J199+J201+J203+J208+J214+J216+J218+J220+J222+J224+J226+J228+J233+J235+J239+J242+J244+J246+J248+J250+J252+J255+J257+J259+J261+J263+J265+J267+J269+J271+J273+J276+J279+J281+J284</f>
        <v>4699514589270</v>
      </c>
      <c r="K286" s="329"/>
      <c r="L286" s="327">
        <f>L8+L13+L39+L43+L47+L49+L51+L55+L60+L64+L69+L71+L73+L75+L77+L79+L85+L88+L98+L105+L109+L111+L113+L115+L118+L120+L122+L124+L126+L128+L130+L132+L134+L139+L141+L143+L145+L147+L151+L153+L155+L159+L169+L175+L178+L180+L182+L191+L193+L195+L197+L199+L201+L203+L208+L214+L216+L218+L220+L222+L224+L226+L228+L233+L235+L239+L242+L244+L246+L248+L250+L252+L255+L257+L259+L261+L263+L265+L267+L269+L271+L273+L276+L279+L281+L284</f>
        <v>960973825546</v>
      </c>
      <c r="M286" s="329"/>
      <c r="N286" s="327">
        <f>N8+N13+N39+N43+N47+N49+N51+N55+N60+N64+N69+N71+N73+N75+N77+N79+N85+N88+N98+N105+N109+N111+N113+N115+N118+N120+N122+N124+N126+N128+N130+N132+N134+N139+N141+N143+N145+N147+N151+N153+N155+N159+N169+N175+N178+N180+N182+N191+N193+N195+N197+N199+N201+N203+N208+N214+N216+N218+N220+N222+N224+N226+N228+N233+N235+N239+N242+N244+N246+N248+N250+N252+N255+N257+N259+N261+N263+N265+N267+N269+N271+N273+N276+N279+N281+N284</f>
        <v>960973825546</v>
      </c>
      <c r="O286" s="39"/>
    </row>
    <row r="287" spans="1:15" ht="15.75" customHeight="1">
      <c r="A287" s="29"/>
      <c r="B287" s="29"/>
      <c r="C287" s="48"/>
      <c r="D287" s="46"/>
      <c r="E287" s="49"/>
      <c r="F287" s="46">
        <f>D286-F286</f>
        <v>0</v>
      </c>
      <c r="G287" s="49"/>
      <c r="H287" s="278"/>
      <c r="I287" s="209"/>
      <c r="J287" s="278">
        <f>H286-J286</f>
        <v>0</v>
      </c>
      <c r="K287" s="49"/>
      <c r="L287" s="46"/>
      <c r="M287" s="49"/>
      <c r="N287" s="46">
        <f>L286-N286</f>
        <v>0</v>
      </c>
      <c r="O287" s="47"/>
    </row>
    <row r="288" spans="1:15" s="349" customFormat="1" ht="24" customHeight="1">
      <c r="A288" s="345"/>
      <c r="B288" s="345"/>
      <c r="C288" s="346" t="s">
        <v>126</v>
      </c>
      <c r="D288" s="345"/>
      <c r="E288" s="347"/>
      <c r="F288" s="345"/>
      <c r="G288" s="347"/>
      <c r="H288" s="345"/>
      <c r="I288" s="347"/>
      <c r="J288" s="348"/>
      <c r="K288" s="347"/>
      <c r="L288" s="345"/>
      <c r="M288" s="347"/>
      <c r="N288" s="348"/>
      <c r="O288" s="347"/>
    </row>
    <row r="289" spans="1:15" s="349" customFormat="1" ht="15.75">
      <c r="A289" s="350" t="s">
        <v>754</v>
      </c>
      <c r="B289" s="321"/>
      <c r="C289" s="351" t="s">
        <v>756</v>
      </c>
      <c r="D289" s="352">
        <v>958269119</v>
      </c>
      <c r="E289" s="320"/>
      <c r="F289" s="321"/>
      <c r="G289" s="320"/>
      <c r="H289" s="327">
        <v>0</v>
      </c>
      <c r="I289" s="353"/>
      <c r="J289" s="327">
        <v>0</v>
      </c>
      <c r="K289" s="320"/>
      <c r="L289" s="352">
        <f>D289+H289-J289</f>
        <v>958269119</v>
      </c>
      <c r="M289" s="320"/>
      <c r="N289" s="321"/>
      <c r="O289" s="320"/>
    </row>
    <row r="290" spans="1:15" s="349" customFormat="1" ht="15.75">
      <c r="A290" s="350" t="s">
        <v>755</v>
      </c>
      <c r="B290" s="321"/>
      <c r="C290" s="351" t="s">
        <v>757</v>
      </c>
      <c r="D290" s="327">
        <v>1519655163</v>
      </c>
      <c r="E290" s="320"/>
      <c r="F290" s="321"/>
      <c r="G290" s="320"/>
      <c r="H290" s="327">
        <v>0</v>
      </c>
      <c r="I290" s="320"/>
      <c r="J290" s="327">
        <v>0</v>
      </c>
      <c r="K290" s="320"/>
      <c r="L290" s="352">
        <f>D290+H290-J290</f>
        <v>1519655163</v>
      </c>
      <c r="M290" s="320"/>
      <c r="N290" s="274"/>
      <c r="O290" s="320"/>
    </row>
    <row r="291" spans="1:15" s="349" customFormat="1" ht="15.75">
      <c r="A291" s="350" t="s">
        <v>149</v>
      </c>
      <c r="B291" s="321"/>
      <c r="C291" s="351" t="s">
        <v>127</v>
      </c>
      <c r="D291" s="354">
        <f>SUM(D292:D295)</f>
        <v>2891338.1199999996</v>
      </c>
      <c r="E291" s="320"/>
      <c r="F291" s="321"/>
      <c r="G291" s="320"/>
      <c r="H291" s="354">
        <f>SUM(H292:H295)</f>
        <v>15231972.28</v>
      </c>
      <c r="I291" s="353"/>
      <c r="J291" s="354">
        <f>SUM(J292:J295)</f>
        <v>12708433.47</v>
      </c>
      <c r="K291" s="320"/>
      <c r="L291" s="354">
        <f>SUM(L292:L295)</f>
        <v>5414876.930000001</v>
      </c>
      <c r="M291" s="320"/>
      <c r="N291" s="321"/>
      <c r="O291" s="320"/>
    </row>
    <row r="292" spans="1:15" s="349" customFormat="1" ht="15">
      <c r="A292" s="321"/>
      <c r="B292" s="355" t="s">
        <v>490</v>
      </c>
      <c r="C292" s="183" t="s">
        <v>1127</v>
      </c>
      <c r="D292" s="356">
        <v>8975.76</v>
      </c>
      <c r="E292" s="320"/>
      <c r="F292" s="321"/>
      <c r="G292" s="320"/>
      <c r="H292" s="356">
        <v>15767.04</v>
      </c>
      <c r="I292" s="353"/>
      <c r="J292" s="356">
        <v>20500</v>
      </c>
      <c r="K292" s="320"/>
      <c r="L292" s="356">
        <f>D292+H292-J292</f>
        <v>4242.800000000003</v>
      </c>
      <c r="M292" s="320"/>
      <c r="N292" s="321"/>
      <c r="O292" s="320"/>
    </row>
    <row r="293" spans="1:15" s="349" customFormat="1" ht="15">
      <c r="A293" s="321"/>
      <c r="B293" s="355" t="s">
        <v>491</v>
      </c>
      <c r="C293" s="183" t="s">
        <v>718</v>
      </c>
      <c r="D293" s="356">
        <v>2882362.36</v>
      </c>
      <c r="E293" s="320"/>
      <c r="F293" s="321"/>
      <c r="G293" s="320"/>
      <c r="H293" s="356">
        <v>15216205.24</v>
      </c>
      <c r="I293" s="353"/>
      <c r="J293" s="356">
        <v>12687933.47</v>
      </c>
      <c r="K293" s="320"/>
      <c r="L293" s="356">
        <f>D293+H293-J293</f>
        <v>5410634.130000001</v>
      </c>
      <c r="M293" s="320"/>
      <c r="N293" s="321"/>
      <c r="O293" s="320"/>
    </row>
    <row r="294" spans="1:15" s="349" customFormat="1" ht="17.25" hidden="1">
      <c r="A294" s="321"/>
      <c r="B294" s="355" t="s">
        <v>1020</v>
      </c>
      <c r="C294" s="183" t="s">
        <v>242</v>
      </c>
      <c r="D294" s="356">
        <v>0</v>
      </c>
      <c r="E294" s="320"/>
      <c r="F294" s="321"/>
      <c r="G294" s="320"/>
      <c r="H294" s="356"/>
      <c r="I294" s="353"/>
      <c r="J294" s="356"/>
      <c r="K294" s="320"/>
      <c r="L294" s="356">
        <f>D294+H294-J294</f>
        <v>0</v>
      </c>
      <c r="M294" s="320"/>
      <c r="N294" s="321"/>
      <c r="O294" s="320"/>
    </row>
    <row r="295" spans="1:15" s="349" customFormat="1" ht="17.25" hidden="1">
      <c r="A295" s="321"/>
      <c r="B295" s="355" t="s">
        <v>491</v>
      </c>
      <c r="C295" s="183" t="s">
        <v>1017</v>
      </c>
      <c r="D295" s="356">
        <v>0</v>
      </c>
      <c r="E295" s="320"/>
      <c r="F295" s="321"/>
      <c r="G295" s="320"/>
      <c r="H295" s="356">
        <v>0</v>
      </c>
      <c r="I295" s="353"/>
      <c r="J295" s="356">
        <v>0</v>
      </c>
      <c r="K295" s="320"/>
      <c r="L295" s="356">
        <f>D295+H295-J295</f>
        <v>0</v>
      </c>
      <c r="M295" s="320"/>
      <c r="N295" s="321"/>
      <c r="O295" s="320"/>
    </row>
    <row r="296" spans="1:15" s="349" customFormat="1" ht="18" hidden="1">
      <c r="A296" s="350" t="s">
        <v>150</v>
      </c>
      <c r="B296" s="321"/>
      <c r="C296" s="351" t="s">
        <v>128</v>
      </c>
      <c r="D296" s="321"/>
      <c r="E296" s="320"/>
      <c r="F296" s="321"/>
      <c r="G296" s="320"/>
      <c r="H296" s="357"/>
      <c r="I296" s="353"/>
      <c r="J296" s="357"/>
      <c r="K296" s="320"/>
      <c r="L296" s="321"/>
      <c r="M296" s="320"/>
      <c r="N296" s="321"/>
      <c r="O296" s="320"/>
    </row>
    <row r="297" spans="1:15" s="349" customFormat="1" ht="18" hidden="1">
      <c r="A297" s="350" t="s">
        <v>151</v>
      </c>
      <c r="B297" s="321"/>
      <c r="C297" s="351" t="s">
        <v>129</v>
      </c>
      <c r="D297" s="327"/>
      <c r="E297" s="320"/>
      <c r="F297" s="321"/>
      <c r="G297" s="320"/>
      <c r="H297" s="327"/>
      <c r="I297" s="320"/>
      <c r="J297" s="327"/>
      <c r="K297" s="320"/>
      <c r="L297" s="327"/>
      <c r="M297" s="320"/>
      <c r="N297" s="274"/>
      <c r="O297" s="320"/>
    </row>
    <row r="298" spans="1:15" s="349" customFormat="1" ht="15">
      <c r="A298" s="358"/>
      <c r="B298" s="358"/>
      <c r="C298" s="359"/>
      <c r="D298" s="358"/>
      <c r="E298" s="331"/>
      <c r="F298" s="358"/>
      <c r="G298" s="331"/>
      <c r="H298" s="330"/>
      <c r="I298" s="331"/>
      <c r="J298" s="358"/>
      <c r="K298" s="331"/>
      <c r="L298" s="330"/>
      <c r="M298" s="331"/>
      <c r="N298" s="358"/>
      <c r="O298" s="331"/>
    </row>
    <row r="299" spans="8:12" s="74" customFormat="1" ht="17.25" hidden="1">
      <c r="H299" s="173"/>
      <c r="L299" s="173"/>
    </row>
    <row r="300" spans="3:12" ht="24" customHeight="1">
      <c r="C300" s="50" t="s">
        <v>417</v>
      </c>
      <c r="F300" s="45" t="s">
        <v>418</v>
      </c>
      <c r="L300" s="50" t="s">
        <v>546</v>
      </c>
    </row>
    <row r="301" ht="15"/>
    <row r="302" ht="15"/>
    <row r="303" ht="15"/>
    <row r="304" ht="15"/>
    <row r="305" ht="15">
      <c r="C305" s="90" t="s">
        <v>814</v>
      </c>
    </row>
    <row r="318" ht="15"/>
    <row r="319" ht="15"/>
    <row r="320" ht="15"/>
    <row r="321" ht="15"/>
    <row r="323" ht="15"/>
    <row r="324" ht="15"/>
    <row r="325" ht="15"/>
  </sheetData>
  <mergeCells count="3">
    <mergeCell ref="C5:C6"/>
    <mergeCell ref="A4:O4"/>
    <mergeCell ref="A5:B5"/>
  </mergeCells>
  <printOptions horizontalCentered="1"/>
  <pageMargins left="0.75" right="0" top="0.25" bottom="0" header="0" footer="0"/>
  <pageSetup horizontalDpi="180" verticalDpi="180" orientation="landscape" paperSize="9" scale="80" r:id="rId3"/>
  <legacyDrawing r:id="rId2"/>
</worksheet>
</file>

<file path=xl/worksheets/sheet5.xml><?xml version="1.0" encoding="utf-8"?>
<worksheet xmlns="http://schemas.openxmlformats.org/spreadsheetml/2006/main" xmlns:r="http://schemas.openxmlformats.org/officeDocument/2006/relationships">
  <dimension ref="A1:H701"/>
  <sheetViews>
    <sheetView zoomScale="90" zoomScaleNormal="90" workbookViewId="0" topLeftCell="A578">
      <selection activeCell="F604" sqref="F604"/>
    </sheetView>
  </sheetViews>
  <sheetFormatPr defaultColWidth="8.796875" defaultRowHeight="15"/>
  <cols>
    <col min="1" max="1" width="28.59765625" style="12" customWidth="1"/>
    <col min="2" max="2" width="15" style="18" customWidth="1"/>
    <col min="3" max="3" width="15.19921875" style="18" customWidth="1"/>
    <col min="4" max="5" width="15.8984375" style="18" customWidth="1"/>
    <col min="6" max="6" width="16.09765625" style="18" customWidth="1"/>
    <col min="7" max="7" width="17.59765625" style="18" customWidth="1"/>
    <col min="8" max="16384" width="9" style="12" customWidth="1"/>
  </cols>
  <sheetData>
    <row r="1" spans="1:7" s="111" customFormat="1" ht="15">
      <c r="A1" s="117" t="s">
        <v>448</v>
      </c>
      <c r="B1" s="112"/>
      <c r="C1" s="112"/>
      <c r="D1" s="112"/>
      <c r="E1" s="112"/>
      <c r="F1" s="409" t="s">
        <v>52</v>
      </c>
      <c r="G1" s="409"/>
    </row>
    <row r="2" spans="1:7" s="111" customFormat="1" ht="15">
      <c r="A2" s="110" t="s">
        <v>405</v>
      </c>
      <c r="B2" s="112"/>
      <c r="C2" s="112"/>
      <c r="D2" s="112"/>
      <c r="E2" s="112"/>
      <c r="F2" s="410" t="s">
        <v>47</v>
      </c>
      <c r="G2" s="410"/>
    </row>
    <row r="3" spans="1:7" s="111" customFormat="1" ht="15">
      <c r="A3" s="110" t="s">
        <v>48</v>
      </c>
      <c r="B3" s="112"/>
      <c r="C3" s="112"/>
      <c r="D3" s="112"/>
      <c r="E3" s="112"/>
      <c r="F3" s="410" t="s">
        <v>45</v>
      </c>
      <c r="G3" s="410"/>
    </row>
    <row r="4" spans="1:7" s="111" customFormat="1" ht="23.25">
      <c r="A4" s="382" t="s">
        <v>673</v>
      </c>
      <c r="B4" s="382"/>
      <c r="C4" s="382"/>
      <c r="D4" s="382"/>
      <c r="E4" s="382"/>
      <c r="F4" s="382"/>
      <c r="G4" s="382"/>
    </row>
    <row r="5" spans="1:7" s="111" customFormat="1" ht="18">
      <c r="A5" s="383" t="s">
        <v>628</v>
      </c>
      <c r="B5" s="383"/>
      <c r="C5" s="383"/>
      <c r="D5" s="383"/>
      <c r="E5" s="383"/>
      <c r="F5" s="383"/>
      <c r="G5" s="383"/>
    </row>
    <row r="6" spans="1:7" ht="18">
      <c r="A6" s="379"/>
      <c r="B6" s="379"/>
      <c r="C6" s="379"/>
      <c r="D6" s="379"/>
      <c r="E6" s="379"/>
      <c r="F6" s="379"/>
      <c r="G6" s="379"/>
    </row>
    <row r="7" ht="15.75">
      <c r="A7" s="6" t="s">
        <v>920</v>
      </c>
    </row>
    <row r="8" ht="15.75">
      <c r="A8" s="7" t="s">
        <v>698</v>
      </c>
    </row>
    <row r="9" ht="15">
      <c r="A9" s="12" t="s">
        <v>88</v>
      </c>
    </row>
    <row r="10" ht="15">
      <c r="A10" s="12" t="s">
        <v>965</v>
      </c>
    </row>
    <row r="11" ht="15">
      <c r="A11" s="12" t="s">
        <v>966</v>
      </c>
    </row>
    <row r="12" ht="15">
      <c r="A12" s="12" t="s">
        <v>885</v>
      </c>
    </row>
    <row r="13" ht="15">
      <c r="A13" s="12" t="s">
        <v>886</v>
      </c>
    </row>
    <row r="14" ht="15.75">
      <c r="A14" s="7" t="s">
        <v>700</v>
      </c>
    </row>
    <row r="15" ht="15">
      <c r="A15" s="12" t="s">
        <v>884</v>
      </c>
    </row>
    <row r="16" ht="15.75">
      <c r="A16" s="7" t="s">
        <v>701</v>
      </c>
    </row>
    <row r="17" ht="15">
      <c r="A17" s="12" t="s">
        <v>571</v>
      </c>
    </row>
    <row r="18" ht="15">
      <c r="A18" s="12" t="s">
        <v>572</v>
      </c>
    </row>
    <row r="19" ht="15">
      <c r="A19" s="12" t="s">
        <v>573</v>
      </c>
    </row>
    <row r="20" spans="1:7" ht="15">
      <c r="A20" s="12" t="s">
        <v>516</v>
      </c>
      <c r="F20" s="408"/>
      <c r="G20" s="408"/>
    </row>
    <row r="21" spans="1:7" ht="15">
      <c r="A21" s="12" t="s">
        <v>517</v>
      </c>
      <c r="F21" s="408"/>
      <c r="G21" s="408"/>
    </row>
    <row r="22" spans="1:7" ht="15">
      <c r="A22" s="12" t="s">
        <v>518</v>
      </c>
      <c r="F22" s="408"/>
      <c r="G22" s="408"/>
    </row>
    <row r="23" ht="15">
      <c r="A23" s="12" t="s">
        <v>519</v>
      </c>
    </row>
    <row r="24" ht="15">
      <c r="A24" s="12" t="s">
        <v>520</v>
      </c>
    </row>
    <row r="25" ht="15">
      <c r="A25" s="12" t="s">
        <v>521</v>
      </c>
    </row>
    <row r="26" ht="15">
      <c r="A26" s="12" t="s">
        <v>522</v>
      </c>
    </row>
    <row r="27" ht="15">
      <c r="A27" s="12" t="s">
        <v>523</v>
      </c>
    </row>
    <row r="28" ht="15">
      <c r="A28" s="12" t="s">
        <v>524</v>
      </c>
    </row>
    <row r="29" ht="15">
      <c r="A29" s="12" t="s">
        <v>525</v>
      </c>
    </row>
    <row r="30" spans="1:7" s="145" customFormat="1" ht="15">
      <c r="A30" s="163" t="s">
        <v>783</v>
      </c>
      <c r="B30" s="144"/>
      <c r="C30" s="144"/>
      <c r="D30" s="144"/>
      <c r="E30" s="144"/>
      <c r="F30" s="144"/>
      <c r="G30" s="144"/>
    </row>
    <row r="31" spans="2:7" s="145" customFormat="1" ht="15">
      <c r="B31" s="144"/>
      <c r="C31" s="144"/>
      <c r="D31" s="144"/>
      <c r="E31" s="144"/>
      <c r="F31" s="144"/>
      <c r="G31" s="144"/>
    </row>
    <row r="32" ht="15.75">
      <c r="A32" s="6" t="s">
        <v>922</v>
      </c>
    </row>
    <row r="33" ht="15">
      <c r="A33" s="12" t="s">
        <v>761</v>
      </c>
    </row>
    <row r="34" ht="15">
      <c r="A34" s="12" t="s">
        <v>89</v>
      </c>
    </row>
    <row r="35" ht="15.75">
      <c r="A35" s="6" t="s">
        <v>921</v>
      </c>
    </row>
    <row r="36" ht="17.25" hidden="1">
      <c r="A36" s="7" t="s">
        <v>90</v>
      </c>
    </row>
    <row r="37" spans="1:7" s="145" customFormat="1" ht="17.25" hidden="1">
      <c r="A37" s="163" t="s">
        <v>963</v>
      </c>
      <c r="B37" s="144"/>
      <c r="C37" s="144"/>
      <c r="D37" s="144"/>
      <c r="E37" s="144"/>
      <c r="F37" s="144"/>
      <c r="G37" s="144"/>
    </row>
    <row r="38" spans="1:7" s="145" customFormat="1" ht="17.25" hidden="1">
      <c r="A38" s="163" t="s">
        <v>964</v>
      </c>
      <c r="B38" s="144"/>
      <c r="C38" s="144"/>
      <c r="D38" s="144"/>
      <c r="E38" s="144"/>
      <c r="F38" s="144"/>
      <c r="G38" s="144"/>
    </row>
    <row r="39" ht="17.25" hidden="1">
      <c r="A39" s="7" t="s">
        <v>481</v>
      </c>
    </row>
    <row r="40" ht="17.25" hidden="1">
      <c r="A40" s="12" t="s">
        <v>1011</v>
      </c>
    </row>
    <row r="41" ht="17.25" hidden="1">
      <c r="A41" s="12" t="s">
        <v>1012</v>
      </c>
    </row>
    <row r="42" ht="17.25" hidden="1">
      <c r="A42" s="7" t="s">
        <v>482</v>
      </c>
    </row>
    <row r="43" ht="17.25" hidden="1">
      <c r="A43" s="12" t="s">
        <v>91</v>
      </c>
    </row>
    <row r="44" ht="15.75">
      <c r="A44" s="6" t="s">
        <v>923</v>
      </c>
    </row>
    <row r="45" ht="17.25" hidden="1">
      <c r="A45" s="7" t="s">
        <v>702</v>
      </c>
    </row>
    <row r="46" ht="17.25" hidden="1">
      <c r="A46" s="12" t="s">
        <v>1132</v>
      </c>
    </row>
    <row r="47" ht="17.25" hidden="1">
      <c r="A47" s="12" t="s">
        <v>942</v>
      </c>
    </row>
    <row r="48" ht="17.25" hidden="1">
      <c r="A48" s="12" t="s">
        <v>1131</v>
      </c>
    </row>
    <row r="49" ht="17.25" hidden="1">
      <c r="A49" s="12" t="s">
        <v>941</v>
      </c>
    </row>
    <row r="50" ht="17.25" hidden="1">
      <c r="A50" s="12" t="s">
        <v>940</v>
      </c>
    </row>
    <row r="51" ht="17.25" hidden="1">
      <c r="A51" s="12" t="s">
        <v>939</v>
      </c>
    </row>
    <row r="52" ht="17.25" hidden="1">
      <c r="A52" s="12" t="s">
        <v>938</v>
      </c>
    </row>
    <row r="53" ht="17.25" hidden="1">
      <c r="A53" s="12" t="s">
        <v>1013</v>
      </c>
    </row>
    <row r="54" ht="17.25" hidden="1">
      <c r="A54" s="7" t="s">
        <v>703</v>
      </c>
    </row>
    <row r="55" ht="17.25" hidden="1">
      <c r="A55" s="7" t="s">
        <v>309</v>
      </c>
    </row>
    <row r="56" ht="17.25" hidden="1">
      <c r="A56" s="12" t="s">
        <v>932</v>
      </c>
    </row>
    <row r="57" ht="17.25" hidden="1">
      <c r="A57" s="12" t="s">
        <v>933</v>
      </c>
    </row>
    <row r="58" ht="17.25" hidden="1">
      <c r="A58" s="12" t="s">
        <v>934</v>
      </c>
    </row>
    <row r="59" ht="17.25" hidden="1">
      <c r="A59" s="12" t="s">
        <v>403</v>
      </c>
    </row>
    <row r="60" ht="17.25" hidden="1">
      <c r="A60" s="12" t="s">
        <v>937</v>
      </c>
    </row>
    <row r="61" ht="17.25" hidden="1">
      <c r="A61" s="12" t="s">
        <v>404</v>
      </c>
    </row>
    <row r="62" ht="17.25" hidden="1">
      <c r="A62" s="12" t="s">
        <v>758</v>
      </c>
    </row>
    <row r="63" ht="17.25" hidden="1">
      <c r="A63" s="12" t="s">
        <v>759</v>
      </c>
    </row>
    <row r="64" ht="17.25" hidden="1">
      <c r="A64" s="12" t="s">
        <v>760</v>
      </c>
    </row>
    <row r="65" ht="17.25" hidden="1">
      <c r="A65" s="12" t="s">
        <v>762</v>
      </c>
    </row>
    <row r="66" ht="17.25" hidden="1">
      <c r="A66" s="12" t="s">
        <v>931</v>
      </c>
    </row>
    <row r="67" ht="17.25" hidden="1">
      <c r="A67" s="12" t="s">
        <v>930</v>
      </c>
    </row>
    <row r="68" ht="17.25" hidden="1">
      <c r="A68" s="12" t="s">
        <v>763</v>
      </c>
    </row>
    <row r="69" ht="17.25" hidden="1">
      <c r="A69" s="7" t="s">
        <v>310</v>
      </c>
    </row>
    <row r="70" ht="17.25" hidden="1">
      <c r="A70" s="7" t="s">
        <v>954</v>
      </c>
    </row>
    <row r="71" ht="17.25" hidden="1">
      <c r="A71" s="7" t="s">
        <v>955</v>
      </c>
    </row>
    <row r="72" ht="17.25" hidden="1">
      <c r="A72" s="12" t="s">
        <v>929</v>
      </c>
    </row>
    <row r="73" ht="17.25" hidden="1">
      <c r="A73" s="7" t="s">
        <v>704</v>
      </c>
    </row>
    <row r="74" ht="17.25" hidden="1">
      <c r="A74" s="7" t="s">
        <v>956</v>
      </c>
    </row>
    <row r="75" ht="17.25" hidden="1">
      <c r="A75" s="12" t="s">
        <v>928</v>
      </c>
    </row>
    <row r="76" ht="17.25" hidden="1">
      <c r="A76" s="7" t="s">
        <v>957</v>
      </c>
    </row>
    <row r="77" spans="1:5" ht="17.25" hidden="1">
      <c r="A77" s="12" t="s">
        <v>311</v>
      </c>
      <c r="E77" s="18" t="s">
        <v>348</v>
      </c>
    </row>
    <row r="78" spans="1:5" ht="17.25" hidden="1">
      <c r="A78" s="12" t="s">
        <v>352</v>
      </c>
      <c r="E78" s="18" t="s">
        <v>349</v>
      </c>
    </row>
    <row r="79" spans="1:5" ht="17.25" hidden="1">
      <c r="A79" s="12" t="s">
        <v>353</v>
      </c>
      <c r="E79" s="18" t="s">
        <v>349</v>
      </c>
    </row>
    <row r="80" spans="1:5" ht="17.25" hidden="1">
      <c r="A80" s="12" t="s">
        <v>354</v>
      </c>
      <c r="E80" s="18" t="s">
        <v>350</v>
      </c>
    </row>
    <row r="81" spans="1:5" ht="17.25" hidden="1">
      <c r="A81" s="12" t="s">
        <v>355</v>
      </c>
      <c r="E81" s="18" t="s">
        <v>351</v>
      </c>
    </row>
    <row r="82" ht="17.25" hidden="1">
      <c r="A82" s="12" t="s">
        <v>1014</v>
      </c>
    </row>
    <row r="83" ht="17.25" hidden="1">
      <c r="A83" s="12" t="s">
        <v>1015</v>
      </c>
    </row>
    <row r="84" ht="17.25" hidden="1">
      <c r="A84" s="12" t="s">
        <v>1021</v>
      </c>
    </row>
    <row r="85" spans="1:7" ht="17.25" hidden="1">
      <c r="A85" s="162" t="s">
        <v>1022</v>
      </c>
      <c r="B85" s="12"/>
      <c r="C85" s="100" t="s">
        <v>574</v>
      </c>
      <c r="E85" s="162" t="s">
        <v>1022</v>
      </c>
      <c r="G85" s="100" t="s">
        <v>574</v>
      </c>
    </row>
    <row r="86" spans="1:7" ht="17.25" hidden="1">
      <c r="A86" s="12" t="s">
        <v>1023</v>
      </c>
      <c r="B86" s="12"/>
      <c r="C86" s="164">
        <v>2</v>
      </c>
      <c r="E86" s="12" t="s">
        <v>465</v>
      </c>
      <c r="G86" s="164">
        <v>7</v>
      </c>
    </row>
    <row r="87" spans="1:7" ht="17.25" hidden="1">
      <c r="A87" s="12" t="s">
        <v>456</v>
      </c>
      <c r="B87" s="12"/>
      <c r="C87" s="164">
        <v>2.75</v>
      </c>
      <c r="E87" s="12" t="s">
        <v>466</v>
      </c>
      <c r="G87" s="164">
        <v>6.75</v>
      </c>
    </row>
    <row r="88" spans="1:7" ht="17.25" hidden="1">
      <c r="A88" s="12" t="s">
        <v>457</v>
      </c>
      <c r="B88" s="12"/>
      <c r="C88" s="164">
        <v>3.5</v>
      </c>
      <c r="E88" s="12" t="s">
        <v>467</v>
      </c>
      <c r="G88" s="164">
        <v>6.25</v>
      </c>
    </row>
    <row r="89" spans="1:7" ht="17.25" hidden="1">
      <c r="A89" s="12" t="s">
        <v>458</v>
      </c>
      <c r="B89" s="12"/>
      <c r="C89" s="164">
        <v>4</v>
      </c>
      <c r="E89" s="12" t="s">
        <v>468</v>
      </c>
      <c r="G89" s="164">
        <v>5.5</v>
      </c>
    </row>
    <row r="90" spans="1:7" ht="17.25" hidden="1">
      <c r="A90" s="12" t="s">
        <v>459</v>
      </c>
      <c r="B90" s="12"/>
      <c r="C90" s="164">
        <v>4.5</v>
      </c>
      <c r="E90" s="12" t="s">
        <v>469</v>
      </c>
      <c r="G90" s="164">
        <v>5.25</v>
      </c>
    </row>
    <row r="91" spans="1:7" ht="17.25" hidden="1">
      <c r="A91" s="12" t="s">
        <v>460</v>
      </c>
      <c r="B91" s="12"/>
      <c r="C91" s="164">
        <v>4.25</v>
      </c>
      <c r="E91" s="12" t="s">
        <v>470</v>
      </c>
      <c r="G91" s="164">
        <v>5.25</v>
      </c>
    </row>
    <row r="92" spans="1:7" ht="17.25" hidden="1">
      <c r="A92" s="12" t="s">
        <v>461</v>
      </c>
      <c r="B92" s="12"/>
      <c r="C92" s="164">
        <v>4.75</v>
      </c>
      <c r="E92" s="12" t="s">
        <v>471</v>
      </c>
      <c r="G92" s="164">
        <v>5</v>
      </c>
    </row>
    <row r="93" spans="1:7" ht="17.25" hidden="1">
      <c r="A93" s="12" t="s">
        <v>462</v>
      </c>
      <c r="B93" s="12"/>
      <c r="C93" s="164">
        <v>5</v>
      </c>
      <c r="E93" s="12" t="s">
        <v>472</v>
      </c>
      <c r="G93" s="164">
        <v>5.75</v>
      </c>
    </row>
    <row r="94" spans="1:7" ht="17.25" hidden="1">
      <c r="A94" s="12" t="s">
        <v>463</v>
      </c>
      <c r="B94" s="12"/>
      <c r="C94" s="164">
        <v>5.25</v>
      </c>
      <c r="E94" s="12" t="s">
        <v>473</v>
      </c>
      <c r="G94" s="164">
        <v>5.75</v>
      </c>
    </row>
    <row r="95" spans="1:5" ht="17.25" hidden="1">
      <c r="A95" s="12" t="s">
        <v>464</v>
      </c>
      <c r="B95" s="12"/>
      <c r="C95" s="164">
        <v>5.25</v>
      </c>
      <c r="E95" s="164"/>
    </row>
    <row r="96" spans="1:5" ht="17.25" hidden="1">
      <c r="A96" s="12" t="s">
        <v>474</v>
      </c>
      <c r="E96" s="164"/>
    </row>
    <row r="97" ht="17.25" hidden="1">
      <c r="A97" s="7" t="s">
        <v>705</v>
      </c>
    </row>
    <row r="98" ht="17.25" hidden="1">
      <c r="A98" s="12" t="s">
        <v>1133</v>
      </c>
    </row>
    <row r="99" ht="17.25" hidden="1">
      <c r="A99" s="12" t="s">
        <v>0</v>
      </c>
    </row>
    <row r="100" ht="17.25" hidden="1">
      <c r="A100" s="7" t="s">
        <v>706</v>
      </c>
    </row>
    <row r="101" ht="17.25" hidden="1">
      <c r="A101" s="7" t="s">
        <v>958</v>
      </c>
    </row>
    <row r="102" ht="17.25" hidden="1">
      <c r="A102" s="12" t="s">
        <v>926</v>
      </c>
    </row>
    <row r="103" ht="17.25" hidden="1">
      <c r="A103" s="12" t="s">
        <v>927</v>
      </c>
    </row>
    <row r="104" ht="17.25" hidden="1">
      <c r="A104" s="7" t="s">
        <v>959</v>
      </c>
    </row>
    <row r="105" ht="17.25" hidden="1">
      <c r="A105" s="12" t="s">
        <v>198</v>
      </c>
    </row>
    <row r="106" ht="17.25" hidden="1">
      <c r="A106" s="12" t="s">
        <v>199</v>
      </c>
    </row>
    <row r="107" ht="17.25" hidden="1">
      <c r="A107" s="12" t="s">
        <v>34</v>
      </c>
    </row>
    <row r="108" ht="17.25" hidden="1">
      <c r="A108" s="7" t="s">
        <v>960</v>
      </c>
    </row>
    <row r="109" ht="17.25" hidden="1">
      <c r="A109" s="12" t="s">
        <v>198</v>
      </c>
    </row>
    <row r="110" ht="17.25" hidden="1">
      <c r="A110" s="12" t="s">
        <v>199</v>
      </c>
    </row>
    <row r="111" ht="17.25" hidden="1">
      <c r="A111" s="12" t="s">
        <v>34</v>
      </c>
    </row>
    <row r="112" ht="17.25" hidden="1">
      <c r="A112" s="7" t="s">
        <v>961</v>
      </c>
    </row>
    <row r="113" ht="17.25" hidden="1">
      <c r="A113" s="12" t="s">
        <v>486</v>
      </c>
    </row>
    <row r="114" ht="17.25" hidden="1">
      <c r="A114" s="7" t="s">
        <v>333</v>
      </c>
    </row>
    <row r="115" ht="17.25" hidden="1">
      <c r="A115" s="7" t="s">
        <v>962</v>
      </c>
    </row>
    <row r="116" ht="17.25" hidden="1">
      <c r="A116" s="12" t="s">
        <v>729</v>
      </c>
    </row>
    <row r="117" ht="17.25" hidden="1">
      <c r="A117" s="12" t="s">
        <v>728</v>
      </c>
    </row>
    <row r="118" ht="17.25" hidden="1">
      <c r="A118" s="12" t="s">
        <v>357</v>
      </c>
    </row>
    <row r="119" ht="17.25" hidden="1">
      <c r="A119" s="12" t="s">
        <v>356</v>
      </c>
    </row>
    <row r="120" ht="17.25" hidden="1">
      <c r="A120" s="12" t="s">
        <v>730</v>
      </c>
    </row>
    <row r="121" ht="17.25" hidden="1">
      <c r="A121" s="12" t="s">
        <v>358</v>
      </c>
    </row>
    <row r="122" ht="17.25" hidden="1">
      <c r="A122" s="12" t="s">
        <v>731</v>
      </c>
    </row>
    <row r="123" ht="17.25" hidden="1">
      <c r="A123" s="12" t="s">
        <v>732</v>
      </c>
    </row>
    <row r="124" ht="17.25" hidden="1">
      <c r="A124" s="12" t="s">
        <v>484</v>
      </c>
    </row>
    <row r="125" ht="17.25" hidden="1">
      <c r="A125" s="12" t="s">
        <v>485</v>
      </c>
    </row>
    <row r="126" ht="17.25" hidden="1">
      <c r="A126" s="7" t="s">
        <v>336</v>
      </c>
    </row>
    <row r="127" ht="17.25" hidden="1">
      <c r="A127" s="12" t="s">
        <v>171</v>
      </c>
    </row>
    <row r="128" ht="17.25" hidden="1">
      <c r="A128" s="7" t="s">
        <v>334</v>
      </c>
    </row>
    <row r="129" ht="17.25" hidden="1">
      <c r="A129" s="7" t="s">
        <v>337</v>
      </c>
    </row>
    <row r="130" ht="17.25" hidden="1">
      <c r="A130" s="12" t="s">
        <v>335</v>
      </c>
    </row>
    <row r="131" ht="17.25" hidden="1">
      <c r="A131" s="12" t="s">
        <v>359</v>
      </c>
    </row>
    <row r="132" ht="17.25" hidden="1">
      <c r="A132" s="12" t="s">
        <v>575</v>
      </c>
    </row>
    <row r="133" ht="17.25" hidden="1">
      <c r="A133" s="12" t="s">
        <v>1101</v>
      </c>
    </row>
    <row r="134" ht="15.75" customHeight="1" hidden="1">
      <c r="A134" s="7" t="s">
        <v>338</v>
      </c>
    </row>
    <row r="135" ht="15.75" customHeight="1" hidden="1">
      <c r="A135" s="12" t="s">
        <v>727</v>
      </c>
    </row>
    <row r="136" ht="15.75" customHeight="1" hidden="1">
      <c r="A136" s="12" t="s">
        <v>726</v>
      </c>
    </row>
    <row r="137" ht="15.75" customHeight="1" hidden="1">
      <c r="A137" s="12" t="s">
        <v>725</v>
      </c>
    </row>
    <row r="138" ht="15.75" customHeight="1" hidden="1">
      <c r="A138" s="7" t="s">
        <v>339</v>
      </c>
    </row>
    <row r="139" ht="15.75" customHeight="1" hidden="1">
      <c r="A139" s="7" t="s">
        <v>576</v>
      </c>
    </row>
    <row r="140" ht="15.75" customHeight="1" hidden="1">
      <c r="A140" s="12" t="s">
        <v>424</v>
      </c>
    </row>
    <row r="141" ht="15.75" customHeight="1" hidden="1">
      <c r="A141" s="12" t="s">
        <v>423</v>
      </c>
    </row>
    <row r="142" ht="15.75" customHeight="1" hidden="1">
      <c r="A142" s="12" t="s">
        <v>422</v>
      </c>
    </row>
    <row r="143" ht="15.75" customHeight="1" hidden="1">
      <c r="A143" s="12" t="s">
        <v>420</v>
      </c>
    </row>
    <row r="144" ht="17.25" hidden="1">
      <c r="A144" s="12" t="s">
        <v>421</v>
      </c>
    </row>
    <row r="145" ht="17.25" hidden="1">
      <c r="A145" s="7" t="s">
        <v>577</v>
      </c>
    </row>
    <row r="146" ht="17.25" hidden="1">
      <c r="A146" s="12" t="s">
        <v>425</v>
      </c>
    </row>
    <row r="147" ht="17.25" hidden="1">
      <c r="A147" s="12" t="s">
        <v>724</v>
      </c>
    </row>
    <row r="148" ht="17.25" hidden="1">
      <c r="A148" s="12" t="s">
        <v>723</v>
      </c>
    </row>
    <row r="149" ht="17.25" hidden="1">
      <c r="A149" s="12" t="s">
        <v>426</v>
      </c>
    </row>
    <row r="150" ht="17.25" hidden="1">
      <c r="A150" s="12" t="s">
        <v>427</v>
      </c>
    </row>
    <row r="151" ht="17.25" hidden="1">
      <c r="A151" s="12" t="s">
        <v>1047</v>
      </c>
    </row>
    <row r="152" ht="17.25" hidden="1">
      <c r="A152" s="12" t="s">
        <v>1083</v>
      </c>
    </row>
    <row r="153" ht="17.25" hidden="1">
      <c r="A153" s="12" t="s">
        <v>1084</v>
      </c>
    </row>
    <row r="154" ht="17.25" hidden="1">
      <c r="A154" s="12" t="s">
        <v>1085</v>
      </c>
    </row>
    <row r="155" ht="17.25" hidden="1">
      <c r="A155" s="7" t="s">
        <v>579</v>
      </c>
    </row>
    <row r="156" ht="17.25" hidden="1">
      <c r="A156" s="7" t="s">
        <v>340</v>
      </c>
    </row>
    <row r="157" ht="17.25" hidden="1">
      <c r="A157" s="7" t="s">
        <v>341</v>
      </c>
    </row>
    <row r="158" ht="17.25" hidden="1">
      <c r="A158" s="7" t="s">
        <v>342</v>
      </c>
    </row>
    <row r="159" ht="17.25" hidden="1">
      <c r="A159" s="7" t="s">
        <v>343</v>
      </c>
    </row>
    <row r="160" ht="17.25" hidden="1">
      <c r="A160" s="7"/>
    </row>
    <row r="161" ht="17.25" hidden="1">
      <c r="A161" s="7" t="s">
        <v>578</v>
      </c>
    </row>
    <row r="162" ht="17.25" hidden="1">
      <c r="A162" s="7" t="s">
        <v>344</v>
      </c>
    </row>
    <row r="163" ht="17.25" hidden="1">
      <c r="A163" s="12" t="s">
        <v>1086</v>
      </c>
    </row>
    <row r="164" ht="17.25" hidden="1">
      <c r="A164" s="12" t="s">
        <v>1087</v>
      </c>
    </row>
    <row r="165" ht="17.25" hidden="1">
      <c r="A165" s="12" t="s">
        <v>1088</v>
      </c>
    </row>
    <row r="166" ht="17.25" hidden="1">
      <c r="A166" s="12" t="s">
        <v>1089</v>
      </c>
    </row>
    <row r="167" ht="17.25" hidden="1">
      <c r="A167" s="12" t="s">
        <v>1090</v>
      </c>
    </row>
    <row r="168" ht="17.25" hidden="1">
      <c r="A168" s="7" t="s">
        <v>345</v>
      </c>
    </row>
    <row r="169" ht="17.25" hidden="1">
      <c r="A169" s="12" t="s">
        <v>721</v>
      </c>
    </row>
    <row r="170" ht="17.25" hidden="1">
      <c r="A170" s="12" t="s">
        <v>720</v>
      </c>
    </row>
    <row r="171" ht="17.25" hidden="1">
      <c r="A171" s="12" t="s">
        <v>1091</v>
      </c>
    </row>
    <row r="172" ht="17.25" hidden="1">
      <c r="A172" s="12" t="s">
        <v>1092</v>
      </c>
    </row>
    <row r="173" ht="17.25" hidden="1">
      <c r="A173" s="12" t="s">
        <v>1093</v>
      </c>
    </row>
    <row r="174" ht="17.25" hidden="1">
      <c r="A174" s="12" t="s">
        <v>1094</v>
      </c>
    </row>
    <row r="175" ht="17.25" hidden="1">
      <c r="A175" s="12" t="s">
        <v>1097</v>
      </c>
    </row>
    <row r="176" ht="17.25" hidden="1">
      <c r="A176" s="7" t="s">
        <v>346</v>
      </c>
    </row>
    <row r="177" ht="17.25" hidden="1">
      <c r="A177" s="12" t="s">
        <v>722</v>
      </c>
    </row>
    <row r="178" ht="17.25" hidden="1">
      <c r="A178" s="12" t="s">
        <v>1098</v>
      </c>
    </row>
    <row r="179" ht="17.25" hidden="1">
      <c r="A179" s="12" t="s">
        <v>1099</v>
      </c>
    </row>
    <row r="180" ht="17.25" hidden="1">
      <c r="A180" s="12" t="s">
        <v>1100</v>
      </c>
    </row>
    <row r="181" ht="17.25" hidden="1">
      <c r="A181" s="7" t="s">
        <v>347</v>
      </c>
    </row>
    <row r="182" ht="17.25" hidden="1">
      <c r="A182" s="7" t="s">
        <v>580</v>
      </c>
    </row>
    <row r="183" ht="17.25" hidden="1">
      <c r="A183" s="12" t="s">
        <v>475</v>
      </c>
    </row>
    <row r="184" ht="17.25" hidden="1">
      <c r="A184" s="12" t="s">
        <v>581</v>
      </c>
    </row>
    <row r="185" ht="17.25" hidden="1">
      <c r="A185" s="12" t="s">
        <v>582</v>
      </c>
    </row>
    <row r="186" ht="17.25" hidden="1">
      <c r="A186" s="12" t="s">
        <v>583</v>
      </c>
    </row>
    <row r="187" ht="17.25" hidden="1">
      <c r="A187" s="12" t="s">
        <v>584</v>
      </c>
    </row>
    <row r="188" ht="17.25" hidden="1">
      <c r="A188" s="12" t="s">
        <v>851</v>
      </c>
    </row>
    <row r="189" ht="17.25" hidden="1">
      <c r="A189" s="7" t="s">
        <v>854</v>
      </c>
    </row>
    <row r="190" ht="17.25" hidden="1">
      <c r="A190" s="12" t="s">
        <v>585</v>
      </c>
    </row>
    <row r="191" ht="17.25" hidden="1">
      <c r="A191" s="12" t="s">
        <v>586</v>
      </c>
    </row>
    <row r="192" ht="17.25" hidden="1">
      <c r="A192" s="12" t="s">
        <v>587</v>
      </c>
    </row>
    <row r="193" ht="17.25" customHeight="1" hidden="1">
      <c r="A193" s="7" t="s">
        <v>855</v>
      </c>
    </row>
    <row r="194" ht="17.25" customHeight="1" hidden="1">
      <c r="A194" s="7" t="s">
        <v>856</v>
      </c>
    </row>
    <row r="195" ht="17.25" hidden="1">
      <c r="A195" s="7"/>
    </row>
    <row r="196" ht="15.75">
      <c r="A196" s="6" t="s">
        <v>857</v>
      </c>
    </row>
    <row r="197" spans="1:7" ht="19.5" customHeight="1">
      <c r="A197" s="198" t="s">
        <v>858</v>
      </c>
      <c r="B197" s="199"/>
      <c r="C197" s="199"/>
      <c r="D197" s="199"/>
      <c r="E197" s="199"/>
      <c r="F197" s="252" t="s">
        <v>67</v>
      </c>
      <c r="G197" s="252" t="s">
        <v>869</v>
      </c>
    </row>
    <row r="198" spans="1:7" ht="19.5" customHeight="1">
      <c r="A198" s="20" t="s">
        <v>764</v>
      </c>
      <c r="B198" s="201"/>
      <c r="C198" s="201"/>
      <c r="D198" s="201"/>
      <c r="E198" s="201"/>
      <c r="F198" s="184">
        <f>'BIEU 02-Bang CDSPS (R)'!L8</f>
        <v>448328810</v>
      </c>
      <c r="G198" s="202">
        <f>'BIEU 02-Bang CDSPS (R)'!D8</f>
        <v>4105047588</v>
      </c>
    </row>
    <row r="199" spans="1:7" ht="19.5" customHeight="1">
      <c r="A199" s="20" t="s">
        <v>765</v>
      </c>
      <c r="B199" s="201"/>
      <c r="C199" s="201"/>
      <c r="D199" s="201"/>
      <c r="E199" s="201"/>
      <c r="F199" s="184">
        <f>'BIEU 02-Bang CDSPS (R)'!L13-'B 01-DN CD KETOAN (R)'!D13</f>
        <v>228991997453</v>
      </c>
      <c r="G199" s="202">
        <f>'BIEU 02-Bang CDSPS (R)'!D13</f>
        <v>132857585605</v>
      </c>
    </row>
    <row r="200" spans="1:7" ht="19.5" customHeight="1">
      <c r="A200" s="20" t="s">
        <v>595</v>
      </c>
      <c r="B200" s="201"/>
      <c r="C200" s="201"/>
      <c r="D200" s="201"/>
      <c r="E200" s="201"/>
      <c r="F200" s="70">
        <f>'B 01-DN CD KETOAN (R)'!D13</f>
        <v>0</v>
      </c>
      <c r="G200" s="202">
        <f>'B 01-DN CD KETOAN (R)'!E13</f>
        <v>13114000000</v>
      </c>
    </row>
    <row r="201" spans="1:8" ht="19.5" customHeight="1">
      <c r="A201" s="203" t="s">
        <v>695</v>
      </c>
      <c r="B201" s="201"/>
      <c r="C201" s="201"/>
      <c r="D201" s="201"/>
      <c r="E201" s="369">
        <f>F201-'B 01-DN CD KETOAN (R)'!D11</f>
        <v>0</v>
      </c>
      <c r="F201" s="361">
        <f>SUM(F198:F200)</f>
        <v>229440326263</v>
      </c>
      <c r="G201" s="204">
        <f>SUM(G198:G200)</f>
        <v>150076633193</v>
      </c>
      <c r="H201" s="18"/>
    </row>
    <row r="202" spans="1:7" ht="19.5" customHeight="1">
      <c r="A202" s="20"/>
      <c r="B202" s="201"/>
      <c r="C202" s="201"/>
      <c r="D202" s="201"/>
      <c r="E202" s="201"/>
      <c r="F202" s="70"/>
      <c r="G202" s="202"/>
    </row>
    <row r="203" spans="1:7" ht="19.5" customHeight="1">
      <c r="A203" s="27" t="s">
        <v>860</v>
      </c>
      <c r="B203" s="201"/>
      <c r="C203" s="201"/>
      <c r="D203" s="201"/>
      <c r="E203" s="201"/>
      <c r="F203" s="227" t="s">
        <v>67</v>
      </c>
      <c r="G203" s="227" t="s">
        <v>869</v>
      </c>
    </row>
    <row r="204" spans="1:7" ht="19.5" customHeight="1" hidden="1">
      <c r="A204" s="206" t="s">
        <v>862</v>
      </c>
      <c r="B204" s="201"/>
      <c r="C204" s="201"/>
      <c r="D204" s="201"/>
      <c r="E204" s="201"/>
      <c r="F204" s="70"/>
      <c r="G204" s="202"/>
    </row>
    <row r="205" spans="1:7" ht="19.5" customHeight="1">
      <c r="A205" s="206" t="s">
        <v>693</v>
      </c>
      <c r="B205" s="201"/>
      <c r="C205" s="201"/>
      <c r="D205" s="201"/>
      <c r="E205" s="201"/>
      <c r="F205" s="184">
        <f>'BIEU 02-Bang CDSPS (R)'!L47</f>
        <v>25096491150</v>
      </c>
      <c r="G205" s="202">
        <f>'BIEU 02-Bang CDSPS (R)'!D47-13114000000</f>
        <v>8650000000</v>
      </c>
    </row>
    <row r="206" spans="1:7" ht="19.5" customHeight="1">
      <c r="A206" s="206" t="s">
        <v>863</v>
      </c>
      <c r="B206" s="201"/>
      <c r="C206" s="201"/>
      <c r="D206" s="201"/>
      <c r="E206" s="201"/>
      <c r="F206" s="8"/>
      <c r="G206" s="202"/>
    </row>
    <row r="207" spans="1:7" ht="19.5" customHeight="1">
      <c r="A207" s="203" t="s">
        <v>695</v>
      </c>
      <c r="B207" s="201"/>
      <c r="C207" s="201"/>
      <c r="D207" s="201"/>
      <c r="E207" s="369">
        <f>F207-'B 01-DN CD KETOAN (R)'!D14</f>
        <v>0</v>
      </c>
      <c r="F207" s="361">
        <f>SUM(F204:F206)</f>
        <v>25096491150</v>
      </c>
      <c r="G207" s="204">
        <f>SUM(G204:G206)</f>
        <v>8650000000</v>
      </c>
    </row>
    <row r="208" spans="1:7" ht="19.5" customHeight="1">
      <c r="A208" s="20"/>
      <c r="B208" s="201"/>
      <c r="C208" s="201"/>
      <c r="D208" s="201"/>
      <c r="E208" s="201"/>
      <c r="F208" s="70"/>
      <c r="G208" s="202"/>
    </row>
    <row r="209" spans="1:7" ht="19.5" customHeight="1">
      <c r="A209" s="27" t="s">
        <v>864</v>
      </c>
      <c r="B209" s="201"/>
      <c r="C209" s="201"/>
      <c r="D209" s="201"/>
      <c r="E209" s="201"/>
      <c r="F209" s="227" t="s">
        <v>67</v>
      </c>
      <c r="G209" s="227" t="s">
        <v>869</v>
      </c>
    </row>
    <row r="210" spans="1:7" ht="19.5" customHeight="1">
      <c r="A210" s="20" t="s">
        <v>1134</v>
      </c>
      <c r="B210" s="201"/>
      <c r="C210" s="201"/>
      <c r="D210" s="201"/>
      <c r="E210" s="201"/>
      <c r="F210" s="184">
        <f>1433455982+4310959</f>
        <v>1437766941</v>
      </c>
      <c r="G210" s="202">
        <v>2391917250</v>
      </c>
    </row>
    <row r="211" spans="1:7" ht="19.5" customHeight="1">
      <c r="A211" s="20" t="s">
        <v>1135</v>
      </c>
      <c r="B211" s="201"/>
      <c r="C211" s="201"/>
      <c r="D211" s="201"/>
      <c r="E211" s="201"/>
      <c r="F211" s="184">
        <v>13976956</v>
      </c>
      <c r="G211" s="202">
        <v>93247900</v>
      </c>
    </row>
    <row r="212" spans="1:7" ht="19.5" customHeight="1">
      <c r="A212" s="20" t="s">
        <v>1136</v>
      </c>
      <c r="B212" s="201"/>
      <c r="C212" s="201"/>
      <c r="D212" s="201"/>
      <c r="E212" s="201"/>
      <c r="F212" s="184">
        <v>100000000</v>
      </c>
      <c r="G212" s="202">
        <v>0</v>
      </c>
    </row>
    <row r="213" spans="1:7" ht="19.5" customHeight="1">
      <c r="A213" s="20" t="s">
        <v>1137</v>
      </c>
      <c r="B213" s="201"/>
      <c r="C213" s="201"/>
      <c r="D213" s="201"/>
      <c r="E213" s="201"/>
      <c r="F213" s="184">
        <v>0</v>
      </c>
      <c r="G213" s="202">
        <v>1055640000</v>
      </c>
    </row>
    <row r="214" spans="1:7" ht="19.5" customHeight="1">
      <c r="A214" s="20" t="s">
        <v>1138</v>
      </c>
      <c r="B214" s="201"/>
      <c r="C214" s="201"/>
      <c r="D214" s="201"/>
      <c r="E214" s="201"/>
      <c r="F214" s="184">
        <v>0</v>
      </c>
      <c r="G214" s="202">
        <v>3270001700</v>
      </c>
    </row>
    <row r="215" spans="1:7" ht="19.5" customHeight="1">
      <c r="A215" s="20" t="s">
        <v>76</v>
      </c>
      <c r="B215" s="201"/>
      <c r="C215" s="201"/>
      <c r="D215" s="201"/>
      <c r="E215" s="201"/>
      <c r="F215" s="184">
        <v>0</v>
      </c>
      <c r="G215" s="70">
        <f>10625000+98798192</f>
        <v>109423192</v>
      </c>
    </row>
    <row r="216" spans="1:7" ht="19.5" customHeight="1">
      <c r="A216" s="20" t="s">
        <v>865</v>
      </c>
      <c r="B216" s="201"/>
      <c r="C216" s="201"/>
      <c r="D216" s="201"/>
      <c r="E216" s="201"/>
      <c r="F216" s="184">
        <f>'B 01-DN CD KETOAN (R)'!D22-F210-F211-F212-F213-F214-F215</f>
        <v>1967556663</v>
      </c>
      <c r="G216" s="202">
        <f>'B 01-DN CD KETOAN (R)'!E22-G210-G211-G212-G213-G214-G215</f>
        <v>4806481712</v>
      </c>
    </row>
    <row r="217" spans="1:7" ht="19.5" customHeight="1">
      <c r="A217" s="207" t="s">
        <v>695</v>
      </c>
      <c r="B217" s="208"/>
      <c r="C217" s="208"/>
      <c r="D217" s="208"/>
      <c r="E217" s="370">
        <f>F217-'B 01-DN CD KETOAN (R)'!D22</f>
        <v>0</v>
      </c>
      <c r="F217" s="363">
        <f>SUM(F210:F216)</f>
        <v>3519300560</v>
      </c>
      <c r="G217" s="209">
        <f>SUM(G210:G216)</f>
        <v>11726711754</v>
      </c>
    </row>
    <row r="218" spans="1:7" ht="19.5" customHeight="1" hidden="1">
      <c r="A218" s="22"/>
      <c r="B218" s="24"/>
      <c r="C218" s="24"/>
      <c r="D218" s="24"/>
      <c r="E218" s="24"/>
      <c r="F218" s="24"/>
      <c r="G218" s="173"/>
    </row>
    <row r="219" spans="1:7" ht="19.5" customHeight="1">
      <c r="A219" s="22"/>
      <c r="B219" s="24"/>
      <c r="C219" s="24"/>
      <c r="D219" s="24"/>
      <c r="E219" s="24"/>
      <c r="F219" s="284"/>
      <c r="G219" s="285"/>
    </row>
    <row r="220" spans="1:7" ht="19.5" customHeight="1">
      <c r="A220" s="198" t="s">
        <v>866</v>
      </c>
      <c r="B220" s="199"/>
      <c r="C220" s="199"/>
      <c r="D220" s="199"/>
      <c r="E220" s="199"/>
      <c r="F220" s="283" t="s">
        <v>67</v>
      </c>
      <c r="G220" s="283" t="s">
        <v>869</v>
      </c>
    </row>
    <row r="221" spans="1:7" ht="19.5" customHeight="1" hidden="1">
      <c r="A221" s="20" t="s">
        <v>867</v>
      </c>
      <c r="B221" s="201"/>
      <c r="C221" s="201"/>
      <c r="D221" s="201"/>
      <c r="E221" s="201"/>
      <c r="F221" s="70">
        <f>'BIEU 02-Bang CDSPS (R)'!L77</f>
        <v>0</v>
      </c>
      <c r="G221" s="202">
        <f>'BIEU 02-Bang CDSPS (R)'!D77</f>
        <v>0</v>
      </c>
    </row>
    <row r="222" spans="1:7" ht="19.5" customHeight="1">
      <c r="A222" s="20" t="s">
        <v>766</v>
      </c>
      <c r="B222" s="201"/>
      <c r="C222" s="201"/>
      <c r="D222" s="201"/>
      <c r="E222" s="201"/>
      <c r="F222" s="184">
        <f>'BIEU 02-Bang CDSPS (R)'!L79</f>
        <v>10362289590</v>
      </c>
      <c r="G222" s="202">
        <f>'BIEU 02-Bang CDSPS (R)'!D79</f>
        <v>8067970928</v>
      </c>
    </row>
    <row r="223" spans="1:7" ht="15">
      <c r="A223" s="20" t="s">
        <v>767</v>
      </c>
      <c r="B223" s="201"/>
      <c r="C223" s="201"/>
      <c r="D223" s="201"/>
      <c r="E223" s="201"/>
      <c r="F223" s="184">
        <f>'BIEU 02-Bang CDSPS (R)'!L85</f>
        <v>1687526543</v>
      </c>
      <c r="G223" s="202">
        <f>'BIEU 02-Bang CDSPS (R)'!D85</f>
        <v>1378758842</v>
      </c>
    </row>
    <row r="224" spans="1:7" ht="15">
      <c r="A224" s="20" t="s">
        <v>868</v>
      </c>
      <c r="B224" s="201"/>
      <c r="C224" s="201"/>
      <c r="D224" s="201"/>
      <c r="E224" s="201"/>
      <c r="F224" s="184">
        <f>'BIEU 02-Bang CDSPS (R)'!L88</f>
        <v>6848781627</v>
      </c>
      <c r="G224" s="202">
        <f>'BIEU 02-Bang CDSPS (R)'!D88</f>
        <v>1140156962</v>
      </c>
    </row>
    <row r="225" spans="1:7" ht="15">
      <c r="A225" s="20" t="s">
        <v>769</v>
      </c>
      <c r="B225" s="201"/>
      <c r="C225" s="201"/>
      <c r="D225" s="201"/>
      <c r="E225" s="201"/>
      <c r="F225" s="184">
        <f>'BIEU 02-Bang CDSPS (R)'!L98</f>
        <v>19156501692</v>
      </c>
      <c r="G225" s="202">
        <f>'BIEU 02-Bang CDSPS (R)'!D98</f>
        <v>17453581989</v>
      </c>
    </row>
    <row r="226" spans="1:7" ht="15">
      <c r="A226" s="20" t="s">
        <v>770</v>
      </c>
      <c r="B226" s="201"/>
      <c r="C226" s="201"/>
      <c r="D226" s="201"/>
      <c r="E226" s="201"/>
      <c r="F226" s="184">
        <f>'BIEU 02-Bang CDSPS (R)'!L105</f>
        <v>1113004684</v>
      </c>
      <c r="G226" s="202">
        <f>'BIEU 02-Bang CDSPS (R)'!D105</f>
        <v>354209774</v>
      </c>
    </row>
    <row r="227" spans="1:7" ht="17.25" hidden="1">
      <c r="A227" s="20" t="s">
        <v>870</v>
      </c>
      <c r="B227" s="201"/>
      <c r="C227" s="201"/>
      <c r="D227" s="201"/>
      <c r="E227" s="201"/>
      <c r="F227" s="184"/>
      <c r="G227" s="202"/>
    </row>
    <row r="228" spans="1:7" ht="17.25" hidden="1">
      <c r="A228" s="20" t="s">
        <v>871</v>
      </c>
      <c r="B228" s="201"/>
      <c r="C228" s="201"/>
      <c r="D228" s="201"/>
      <c r="E228" s="201"/>
      <c r="F228" s="184"/>
      <c r="G228" s="202"/>
    </row>
    <row r="229" spans="1:7" ht="17.25" hidden="1">
      <c r="A229" s="20" t="s">
        <v>872</v>
      </c>
      <c r="B229" s="201"/>
      <c r="C229" s="201"/>
      <c r="D229" s="201"/>
      <c r="E229" s="201"/>
      <c r="F229" s="184">
        <f>'BIEU 02-Bang CDSPS (R)'!L109</f>
        <v>0</v>
      </c>
      <c r="G229" s="202">
        <f>'BIEU 02-Bang CDSPS (R)'!D109</f>
        <v>0</v>
      </c>
    </row>
    <row r="230" spans="1:7" ht="15.75">
      <c r="A230" s="203" t="s">
        <v>771</v>
      </c>
      <c r="B230" s="201"/>
      <c r="C230" s="201"/>
      <c r="D230" s="201"/>
      <c r="E230" s="369">
        <f>F230-'B 01-DN CD KETOAN (R)'!D25</f>
        <v>0</v>
      </c>
      <c r="F230" s="361">
        <f>SUM(F221:F229)</f>
        <v>39168104136</v>
      </c>
      <c r="G230" s="204">
        <f>SUM(G221:G229)</f>
        <v>28394678495</v>
      </c>
    </row>
    <row r="231" spans="1:7" ht="17.25" hidden="1">
      <c r="A231" s="206" t="s">
        <v>881</v>
      </c>
      <c r="B231" s="201"/>
      <c r="C231" s="201"/>
      <c r="D231" s="201"/>
      <c r="E231" s="201"/>
      <c r="F231" s="8"/>
      <c r="G231" s="202"/>
    </row>
    <row r="232" spans="1:7" ht="17.25" hidden="1">
      <c r="A232" s="206" t="s">
        <v>882</v>
      </c>
      <c r="B232" s="201"/>
      <c r="C232" s="201"/>
      <c r="D232" s="201"/>
      <c r="E232" s="201"/>
      <c r="F232" s="8"/>
      <c r="G232" s="202"/>
    </row>
    <row r="233" spans="1:7" ht="17.25" hidden="1">
      <c r="A233" s="206" t="s">
        <v>883</v>
      </c>
      <c r="B233" s="201"/>
      <c r="C233" s="201"/>
      <c r="D233" s="201"/>
      <c r="E233" s="201"/>
      <c r="F233" s="8"/>
      <c r="G233" s="202"/>
    </row>
    <row r="234" spans="1:7" ht="17.25" hidden="1">
      <c r="A234" s="20"/>
      <c r="B234" s="201"/>
      <c r="C234" s="201"/>
      <c r="D234" s="201"/>
      <c r="E234" s="201"/>
      <c r="F234" s="8"/>
      <c r="G234" s="202"/>
    </row>
    <row r="235" spans="1:7" ht="15">
      <c r="A235" s="20"/>
      <c r="B235" s="201"/>
      <c r="C235" s="201"/>
      <c r="D235" s="201"/>
      <c r="E235" s="201"/>
      <c r="F235" s="8"/>
      <c r="G235" s="202"/>
    </row>
    <row r="236" spans="1:7" ht="15.75">
      <c r="A236" s="27" t="s">
        <v>874</v>
      </c>
      <c r="B236" s="201"/>
      <c r="C236" s="201"/>
      <c r="D236" s="201"/>
      <c r="E236" s="201"/>
      <c r="F236" s="227" t="s">
        <v>67</v>
      </c>
      <c r="G236" s="227" t="s">
        <v>869</v>
      </c>
    </row>
    <row r="237" spans="1:7" s="86" customFormat="1" ht="17.25" hidden="1">
      <c r="A237" s="20" t="s">
        <v>77</v>
      </c>
      <c r="B237" s="213"/>
      <c r="C237" s="213"/>
      <c r="D237" s="213"/>
      <c r="E237" s="213"/>
      <c r="F237" s="70">
        <f>'BIEU 02-Bang CDSPS (R)'!L160</f>
        <v>0</v>
      </c>
      <c r="G237" s="202">
        <f>'BIEU 02-Bang CDSPS (R)'!D160</f>
        <v>0</v>
      </c>
    </row>
    <row r="238" spans="1:7" s="86" customFormat="1" ht="17.25" hidden="1">
      <c r="A238" s="20" t="s">
        <v>78</v>
      </c>
      <c r="B238" s="213"/>
      <c r="C238" s="213"/>
      <c r="D238" s="213"/>
      <c r="E238" s="213"/>
      <c r="F238" s="70">
        <f>'BIEU 02-Bang CDSPS (R)'!L161</f>
        <v>0</v>
      </c>
      <c r="G238" s="202">
        <f>'BIEU 02-Bang CDSPS (R)'!D161</f>
        <v>0</v>
      </c>
    </row>
    <row r="239" spans="1:7" s="86" customFormat="1" ht="17.25" hidden="1">
      <c r="A239" s="20" t="s">
        <v>79</v>
      </c>
      <c r="B239" s="213"/>
      <c r="C239" s="213"/>
      <c r="D239" s="213"/>
      <c r="E239" s="213"/>
      <c r="F239" s="70">
        <f>'BIEU 02-Bang CDSPS (R)'!L162</f>
        <v>0</v>
      </c>
      <c r="G239" s="202">
        <f>'BIEU 02-Bang CDSPS (R)'!D162</f>
        <v>0</v>
      </c>
    </row>
    <row r="240" spans="1:7" s="86" customFormat="1" ht="15">
      <c r="A240" s="20" t="s">
        <v>784</v>
      </c>
      <c r="B240" s="213"/>
      <c r="C240" s="213"/>
      <c r="D240" s="213"/>
      <c r="E240" s="213"/>
      <c r="F240" s="8">
        <f>'BIEU 02-Bang CDSPS (R)'!L163</f>
        <v>0</v>
      </c>
      <c r="G240" s="202">
        <f>'BIEU 02-Bang CDSPS (R)'!D163</f>
        <v>0</v>
      </c>
    </row>
    <row r="241" spans="1:7" s="86" customFormat="1" ht="17.25" hidden="1">
      <c r="A241" s="20" t="s">
        <v>80</v>
      </c>
      <c r="B241" s="213"/>
      <c r="C241" s="213"/>
      <c r="D241" s="213"/>
      <c r="E241" s="213"/>
      <c r="F241" s="8">
        <f>'BIEU 02-Bang CDSPS (R)'!L164</f>
        <v>0</v>
      </c>
      <c r="G241" s="202">
        <f>'BIEU 02-Bang CDSPS (R)'!D164</f>
        <v>0</v>
      </c>
    </row>
    <row r="242" spans="1:7" s="86" customFormat="1" ht="17.25" hidden="1">
      <c r="A242" s="20" t="s">
        <v>81</v>
      </c>
      <c r="B242" s="213"/>
      <c r="C242" s="213"/>
      <c r="D242" s="213"/>
      <c r="E242" s="213"/>
      <c r="F242" s="8">
        <f>'BIEU 02-Bang CDSPS (R)'!L165</f>
        <v>0</v>
      </c>
      <c r="G242" s="202">
        <f>'BIEU 02-Bang CDSPS (R)'!D165</f>
        <v>0</v>
      </c>
    </row>
    <row r="243" spans="1:7" s="86" customFormat="1" ht="15">
      <c r="A243" s="20" t="s">
        <v>82</v>
      </c>
      <c r="B243" s="213"/>
      <c r="C243" s="213"/>
      <c r="D243" s="213"/>
      <c r="E243" s="213"/>
      <c r="F243" s="8">
        <f>'BIEU 02-Bang CDSPS (R)'!L166</f>
        <v>0</v>
      </c>
      <c r="G243" s="202">
        <f>'BIEU 02-Bang CDSPS (R)'!D166</f>
        <v>0</v>
      </c>
    </row>
    <row r="244" spans="1:7" s="86" customFormat="1" ht="17.25" hidden="1">
      <c r="A244" s="20" t="s">
        <v>873</v>
      </c>
      <c r="B244" s="213"/>
      <c r="C244" s="213"/>
      <c r="D244" s="213"/>
      <c r="E244" s="213"/>
      <c r="F244" s="9"/>
      <c r="G244" s="215"/>
    </row>
    <row r="245" spans="1:7" ht="15.75">
      <c r="A245" s="203" t="s">
        <v>695</v>
      </c>
      <c r="B245" s="201"/>
      <c r="C245" s="201"/>
      <c r="D245" s="201"/>
      <c r="E245" s="201"/>
      <c r="F245" s="5">
        <f>SUM(F237:F244)</f>
        <v>0</v>
      </c>
      <c r="G245" s="204">
        <f>SUM(G237:G244)</f>
        <v>0</v>
      </c>
    </row>
    <row r="246" spans="1:7" ht="15">
      <c r="A246" s="20"/>
      <c r="B246" s="201"/>
      <c r="C246" s="201"/>
      <c r="D246" s="201"/>
      <c r="E246" s="201"/>
      <c r="F246" s="8"/>
      <c r="G246" s="202"/>
    </row>
    <row r="247" spans="1:7" ht="15.75">
      <c r="A247" s="216" t="s">
        <v>590</v>
      </c>
      <c r="B247" s="201"/>
      <c r="C247" s="201"/>
      <c r="D247" s="201"/>
      <c r="E247" s="201"/>
      <c r="F247" s="227" t="s">
        <v>67</v>
      </c>
      <c r="G247" s="227" t="s">
        <v>869</v>
      </c>
    </row>
    <row r="248" spans="1:7" ht="15">
      <c r="A248" s="206" t="s">
        <v>591</v>
      </c>
      <c r="B248" s="201"/>
      <c r="C248" s="201"/>
      <c r="D248" s="201"/>
      <c r="E248" s="201"/>
      <c r="F248" s="8">
        <f>'BIEU 02-Bang CDSPS (R)'!L75</f>
        <v>0</v>
      </c>
      <c r="G248" s="202">
        <f>'BIEU 02-Bang CDSPS (R)'!D75</f>
        <v>0</v>
      </c>
    </row>
    <row r="249" spans="1:7" ht="15">
      <c r="A249" s="206" t="s">
        <v>593</v>
      </c>
      <c r="B249" s="201"/>
      <c r="C249" s="201"/>
      <c r="D249" s="201"/>
      <c r="E249" s="201"/>
      <c r="F249" s="184">
        <f>'BIEU 02-Bang CDSPS (R)'!L71</f>
        <v>980450680</v>
      </c>
      <c r="G249" s="202">
        <f>'BIEU 02-Bang CDSPS (R)'!D71</f>
        <v>893531950</v>
      </c>
    </row>
    <row r="250" spans="1:7" ht="17.25" hidden="1">
      <c r="A250" s="206" t="s">
        <v>592</v>
      </c>
      <c r="B250" s="201"/>
      <c r="C250" s="201"/>
      <c r="D250" s="201"/>
      <c r="E250" s="201"/>
      <c r="F250" s="184">
        <f>'BIEU 02-Bang CDSPS (R)'!L65</f>
        <v>0</v>
      </c>
      <c r="G250" s="202">
        <f>'BIEU 02-Bang CDSPS (R)'!D65</f>
        <v>0</v>
      </c>
    </row>
    <row r="251" spans="1:7" ht="15.75">
      <c r="A251" s="203" t="s">
        <v>695</v>
      </c>
      <c r="B251" s="201"/>
      <c r="C251" s="201"/>
      <c r="D251" s="201"/>
      <c r="E251" s="369">
        <f>F251-'B 01-DN CD KETOAN (R)'!D31</f>
        <v>0</v>
      </c>
      <c r="F251" s="361">
        <f>SUM(F248:F250)</f>
        <v>980450680</v>
      </c>
      <c r="G251" s="204">
        <f>SUM(G248:G250)</f>
        <v>893531950</v>
      </c>
    </row>
    <row r="252" spans="1:7" ht="15.75">
      <c r="A252" s="216" t="s">
        <v>875</v>
      </c>
      <c r="B252" s="201"/>
      <c r="C252" s="201"/>
      <c r="D252" s="201"/>
      <c r="E252" s="201"/>
      <c r="F252" s="227" t="s">
        <v>67</v>
      </c>
      <c r="G252" s="227" t="s">
        <v>869</v>
      </c>
    </row>
    <row r="253" spans="1:7" ht="17.25" hidden="1">
      <c r="A253" s="206" t="s">
        <v>876</v>
      </c>
      <c r="B253" s="201"/>
      <c r="C253" s="201"/>
      <c r="D253" s="201"/>
      <c r="E253" s="201"/>
      <c r="F253" s="8">
        <v>0</v>
      </c>
      <c r="G253" s="202">
        <v>0</v>
      </c>
    </row>
    <row r="254" spans="1:7" ht="18" hidden="1">
      <c r="A254" s="217" t="s">
        <v>877</v>
      </c>
      <c r="B254" s="201"/>
      <c r="C254" s="201"/>
      <c r="D254" s="201"/>
      <c r="E254" s="201"/>
      <c r="F254" s="8"/>
      <c r="G254" s="202"/>
    </row>
    <row r="255" spans="1:7" ht="17.25" hidden="1">
      <c r="A255" s="206" t="s">
        <v>878</v>
      </c>
      <c r="B255" s="201"/>
      <c r="C255" s="201"/>
      <c r="D255" s="201"/>
      <c r="E255" s="201"/>
      <c r="F255" s="8"/>
      <c r="G255" s="202"/>
    </row>
    <row r="256" spans="1:7" ht="17.25" hidden="1">
      <c r="A256" s="206" t="s">
        <v>789</v>
      </c>
      <c r="B256" s="201"/>
      <c r="C256" s="201"/>
      <c r="D256" s="201"/>
      <c r="E256" s="201"/>
      <c r="F256" s="8"/>
      <c r="G256" s="202"/>
    </row>
    <row r="257" spans="1:7" ht="15.75">
      <c r="A257" s="207" t="s">
        <v>695</v>
      </c>
      <c r="B257" s="208"/>
      <c r="C257" s="208"/>
      <c r="D257" s="208"/>
      <c r="E257" s="208"/>
      <c r="F257" s="60">
        <f>SUM(F253:F256)</f>
        <v>0</v>
      </c>
      <c r="G257" s="209">
        <f>SUM(G253:G256)</f>
        <v>0</v>
      </c>
    </row>
    <row r="258" spans="1:7" ht="18" hidden="1">
      <c r="A258" s="65"/>
      <c r="F258" s="82"/>
      <c r="G258" s="82"/>
    </row>
    <row r="259" ht="15.75">
      <c r="A259" s="6" t="s">
        <v>879</v>
      </c>
    </row>
    <row r="260" spans="1:7" ht="15">
      <c r="A260" s="411" t="s">
        <v>687</v>
      </c>
      <c r="B260" s="165" t="s">
        <v>683</v>
      </c>
      <c r="C260" s="165" t="s">
        <v>974</v>
      </c>
      <c r="D260" s="165" t="s">
        <v>978</v>
      </c>
      <c r="E260" s="165" t="s">
        <v>685</v>
      </c>
      <c r="F260" s="411" t="s">
        <v>686</v>
      </c>
      <c r="G260" s="411" t="s">
        <v>409</v>
      </c>
    </row>
    <row r="261" spans="1:7" ht="15">
      <c r="A261" s="381"/>
      <c r="B261" s="166" t="s">
        <v>918</v>
      </c>
      <c r="C261" s="166" t="s">
        <v>975</v>
      </c>
      <c r="D261" s="166" t="s">
        <v>977</v>
      </c>
      <c r="E261" s="166" t="s">
        <v>684</v>
      </c>
      <c r="F261" s="381"/>
      <c r="G261" s="381"/>
    </row>
    <row r="262" spans="1:7" ht="15.75">
      <c r="A262" s="3" t="s">
        <v>1056</v>
      </c>
      <c r="B262" s="23"/>
      <c r="C262" s="23"/>
      <c r="D262" s="23"/>
      <c r="E262" s="23"/>
      <c r="F262" s="23"/>
      <c r="G262" s="23"/>
    </row>
    <row r="263" spans="1:7" ht="15.75">
      <c r="A263" s="15" t="s">
        <v>674</v>
      </c>
      <c r="B263" s="361">
        <v>42335031352</v>
      </c>
      <c r="C263" s="361">
        <v>44960412091</v>
      </c>
      <c r="D263" s="361">
        <v>20814459989</v>
      </c>
      <c r="E263" s="361">
        <v>4084587296</v>
      </c>
      <c r="F263" s="361">
        <v>309285291369</v>
      </c>
      <c r="G263" s="361">
        <f aca="true" t="shared" si="0" ref="G263:G269">SUM(B263:F263)</f>
        <v>421479782097</v>
      </c>
    </row>
    <row r="264" spans="1:7" ht="15">
      <c r="A264" s="15" t="s">
        <v>675</v>
      </c>
      <c r="B264" s="184">
        <v>0</v>
      </c>
      <c r="C264" s="184">
        <v>1639984682</v>
      </c>
      <c r="D264" s="184">
        <v>0</v>
      </c>
      <c r="E264" s="184">
        <v>101492141</v>
      </c>
      <c r="F264" s="184">
        <v>0</v>
      </c>
      <c r="G264" s="184">
        <f t="shared" si="0"/>
        <v>1741476823</v>
      </c>
    </row>
    <row r="265" spans="1:7" ht="15">
      <c r="A265" s="15" t="s">
        <v>676</v>
      </c>
      <c r="B265" s="184">
        <v>15422278085</v>
      </c>
      <c r="C265" s="184">
        <v>2855140490</v>
      </c>
      <c r="D265" s="184">
        <v>3058534152</v>
      </c>
      <c r="E265" s="184">
        <v>0</v>
      </c>
      <c r="F265" s="184">
        <v>11474371971</v>
      </c>
      <c r="G265" s="184">
        <f t="shared" si="0"/>
        <v>32810324698</v>
      </c>
    </row>
    <row r="266" spans="1:7" ht="17.25" hidden="1">
      <c r="A266" s="15" t="s">
        <v>919</v>
      </c>
      <c r="B266" s="184"/>
      <c r="C266" s="184"/>
      <c r="D266" s="184"/>
      <c r="E266" s="184"/>
      <c r="F266" s="184"/>
      <c r="G266" s="184">
        <f t="shared" si="0"/>
        <v>0</v>
      </c>
    </row>
    <row r="267" spans="1:7" ht="17.25" hidden="1">
      <c r="A267" s="15" t="s">
        <v>442</v>
      </c>
      <c r="B267" s="184"/>
      <c r="C267" s="184"/>
      <c r="D267" s="184"/>
      <c r="E267" s="184"/>
      <c r="F267" s="184"/>
      <c r="G267" s="184">
        <f t="shared" si="0"/>
        <v>0</v>
      </c>
    </row>
    <row r="268" spans="1:7" ht="15">
      <c r="A268" s="15" t="s">
        <v>443</v>
      </c>
      <c r="B268" s="184">
        <v>0</v>
      </c>
      <c r="C268" s="184">
        <v>0</v>
      </c>
      <c r="D268" s="184">
        <v>0</v>
      </c>
      <c r="E268" s="184">
        <v>0</v>
      </c>
      <c r="F268" s="184">
        <v>21568701247</v>
      </c>
      <c r="G268" s="184">
        <f t="shared" si="0"/>
        <v>21568701247</v>
      </c>
    </row>
    <row r="269" spans="1:7" ht="15">
      <c r="A269" s="15" t="s">
        <v>444</v>
      </c>
      <c r="B269" s="184">
        <v>0</v>
      </c>
      <c r="C269" s="184">
        <v>0</v>
      </c>
      <c r="D269" s="184">
        <v>0</v>
      </c>
      <c r="E269" s="184">
        <v>51603150</v>
      </c>
      <c r="F269" s="184">
        <v>0</v>
      </c>
      <c r="G269" s="184">
        <f t="shared" si="0"/>
        <v>51603150</v>
      </c>
    </row>
    <row r="270" spans="1:7" ht="15.75">
      <c r="A270" s="15" t="s">
        <v>445</v>
      </c>
      <c r="B270" s="361">
        <f aca="true" t="shared" si="1" ref="B270:G270">B263+B264+B265+B266-B267-B268-B269</f>
        <v>57757309437</v>
      </c>
      <c r="C270" s="361">
        <f t="shared" si="1"/>
        <v>49455537263</v>
      </c>
      <c r="D270" s="361">
        <f t="shared" si="1"/>
        <v>23872994141</v>
      </c>
      <c r="E270" s="361">
        <f t="shared" si="1"/>
        <v>4134476287</v>
      </c>
      <c r="F270" s="361">
        <f t="shared" si="1"/>
        <v>299190962093</v>
      </c>
      <c r="G270" s="361">
        <f t="shared" si="1"/>
        <v>434411279221</v>
      </c>
    </row>
    <row r="271" spans="1:7" ht="15.75">
      <c r="A271" s="2" t="s">
        <v>1057</v>
      </c>
      <c r="B271" s="184"/>
      <c r="C271" s="184"/>
      <c r="D271" s="184"/>
      <c r="E271" s="184"/>
      <c r="F271" s="184"/>
      <c r="G271" s="184"/>
    </row>
    <row r="272" spans="1:7" ht="15.75">
      <c r="A272" s="15" t="s">
        <v>674</v>
      </c>
      <c r="B272" s="361">
        <v>22725080669</v>
      </c>
      <c r="C272" s="361">
        <v>18795389905</v>
      </c>
      <c r="D272" s="361">
        <v>10377040508</v>
      </c>
      <c r="E272" s="361">
        <v>2208118919</v>
      </c>
      <c r="F272" s="361">
        <v>110948566971</v>
      </c>
      <c r="G272" s="361">
        <f aca="true" t="shared" si="2" ref="G272:G277">SUM(B272:F272)</f>
        <v>165054196972</v>
      </c>
    </row>
    <row r="273" spans="1:7" ht="15">
      <c r="A273" s="15" t="s">
        <v>446</v>
      </c>
      <c r="B273" s="184">
        <v>2848053523</v>
      </c>
      <c r="C273" s="184">
        <v>3604897878</v>
      </c>
      <c r="D273" s="184">
        <v>2312341840</v>
      </c>
      <c r="E273" s="184">
        <v>2208118919</v>
      </c>
      <c r="F273" s="184">
        <v>10955158827</v>
      </c>
      <c r="G273" s="184">
        <f t="shared" si="2"/>
        <v>21928570987</v>
      </c>
    </row>
    <row r="274" spans="1:7" ht="17.25" hidden="1">
      <c r="A274" s="15" t="s">
        <v>919</v>
      </c>
      <c r="B274" s="184"/>
      <c r="C274" s="184"/>
      <c r="D274" s="184"/>
      <c r="E274" s="184"/>
      <c r="F274" s="184"/>
      <c r="G274" s="184">
        <f t="shared" si="2"/>
        <v>0</v>
      </c>
    </row>
    <row r="275" spans="1:7" ht="17.25" hidden="1">
      <c r="A275" s="15" t="s">
        <v>442</v>
      </c>
      <c r="B275" s="184"/>
      <c r="C275" s="184"/>
      <c r="D275" s="184"/>
      <c r="E275" s="184"/>
      <c r="F275" s="184"/>
      <c r="G275" s="184">
        <f t="shared" si="2"/>
        <v>0</v>
      </c>
    </row>
    <row r="276" spans="1:7" ht="15">
      <c r="A276" s="15" t="s">
        <v>443</v>
      </c>
      <c r="B276" s="184">
        <v>0</v>
      </c>
      <c r="C276" s="184">
        <v>0</v>
      </c>
      <c r="D276" s="184">
        <v>0</v>
      </c>
      <c r="E276" s="184">
        <v>360215290</v>
      </c>
      <c r="F276" s="184">
        <v>10503845670</v>
      </c>
      <c r="G276" s="184">
        <f t="shared" si="2"/>
        <v>10864060960</v>
      </c>
    </row>
    <row r="277" spans="1:7" ht="15">
      <c r="A277" s="15" t="s">
        <v>444</v>
      </c>
      <c r="B277" s="184">
        <v>0</v>
      </c>
      <c r="C277" s="184">
        <v>0</v>
      </c>
      <c r="D277" s="184">
        <v>0</v>
      </c>
      <c r="E277" s="184">
        <v>40230116</v>
      </c>
      <c r="F277" s="184">
        <v>0</v>
      </c>
      <c r="G277" s="184">
        <f t="shared" si="2"/>
        <v>40230116</v>
      </c>
    </row>
    <row r="278" spans="1:7" ht="15.75">
      <c r="A278" s="15" t="s">
        <v>445</v>
      </c>
      <c r="B278" s="361">
        <f aca="true" t="shared" si="3" ref="B278:G278">B272+B273+B274-B275-B276-B277</f>
        <v>25573134192</v>
      </c>
      <c r="C278" s="361">
        <f t="shared" si="3"/>
        <v>22400287783</v>
      </c>
      <c r="D278" s="361">
        <f t="shared" si="3"/>
        <v>12689382348</v>
      </c>
      <c r="E278" s="361">
        <f t="shared" si="3"/>
        <v>4015792432</v>
      </c>
      <c r="F278" s="361">
        <f t="shared" si="3"/>
        <v>111399880128</v>
      </c>
      <c r="G278" s="361">
        <f t="shared" si="3"/>
        <v>176078476883</v>
      </c>
    </row>
    <row r="279" spans="1:7" ht="15.75">
      <c r="A279" s="2" t="s">
        <v>1058</v>
      </c>
      <c r="B279" s="184"/>
      <c r="C279" s="184"/>
      <c r="D279" s="184"/>
      <c r="E279" s="184"/>
      <c r="F279" s="184"/>
      <c r="G279" s="184"/>
    </row>
    <row r="280" spans="1:7" ht="15.75">
      <c r="A280" s="15" t="s">
        <v>447</v>
      </c>
      <c r="B280" s="361">
        <v>19609950683</v>
      </c>
      <c r="C280" s="361">
        <v>26165022186</v>
      </c>
      <c r="D280" s="361">
        <v>10437419481</v>
      </c>
      <c r="E280" s="361">
        <v>1876468377</v>
      </c>
      <c r="F280" s="361">
        <v>198336724398</v>
      </c>
      <c r="G280" s="361">
        <f>SUM(B280:F280)</f>
        <v>256425585125</v>
      </c>
    </row>
    <row r="281" spans="1:7" ht="15.75">
      <c r="A281" s="15" t="s">
        <v>973</v>
      </c>
      <c r="B281" s="361">
        <f>B270-B278</f>
        <v>32184175245</v>
      </c>
      <c r="C281" s="361">
        <f>C270-C278</f>
        <v>27055249480</v>
      </c>
      <c r="D281" s="361">
        <f>D270-D278</f>
        <v>11183611793</v>
      </c>
      <c r="E281" s="361">
        <f>E270-E278</f>
        <v>118683855</v>
      </c>
      <c r="F281" s="361">
        <f>F270-F278</f>
        <v>187791081965</v>
      </c>
      <c r="G281" s="361">
        <f>SUM(B281:F281)</f>
        <v>258332802338</v>
      </c>
    </row>
    <row r="282" spans="1:7" ht="15">
      <c r="A282" s="16"/>
      <c r="B282" s="187"/>
      <c r="C282" s="187"/>
      <c r="D282" s="187"/>
      <c r="E282" s="187"/>
      <c r="F282" s="187"/>
      <c r="G282" s="187"/>
    </row>
    <row r="283" ht="17.25" hidden="1">
      <c r="A283" s="12" t="s">
        <v>887</v>
      </c>
    </row>
    <row r="284" ht="17.25" hidden="1">
      <c r="A284" s="12" t="s">
        <v>688</v>
      </c>
    </row>
    <row r="285" ht="17.25" hidden="1">
      <c r="A285" s="12" t="s">
        <v>689</v>
      </c>
    </row>
    <row r="286" ht="17.25" hidden="1">
      <c r="A286" s="12" t="s">
        <v>888</v>
      </c>
    </row>
    <row r="287" ht="17.25" hidden="1">
      <c r="A287" s="12" t="s">
        <v>889</v>
      </c>
    </row>
    <row r="288" ht="17.25" hidden="1"/>
    <row r="289" ht="18" hidden="1">
      <c r="A289" s="6" t="s">
        <v>83</v>
      </c>
    </row>
    <row r="290" spans="1:7" ht="17.25" hidden="1">
      <c r="A290" s="411" t="s">
        <v>687</v>
      </c>
      <c r="B290" s="411" t="s">
        <v>683</v>
      </c>
      <c r="C290" s="165" t="s">
        <v>974</v>
      </c>
      <c r="D290" s="165" t="s">
        <v>978</v>
      </c>
      <c r="E290" s="165" t="s">
        <v>685</v>
      </c>
      <c r="F290" s="411" t="s">
        <v>686</v>
      </c>
      <c r="G290" s="411" t="s">
        <v>409</v>
      </c>
    </row>
    <row r="291" spans="1:7" ht="17.25" hidden="1">
      <c r="A291" s="381"/>
      <c r="B291" s="381"/>
      <c r="C291" s="166" t="s">
        <v>975</v>
      </c>
      <c r="D291" s="166" t="s">
        <v>977</v>
      </c>
      <c r="E291" s="166" t="s">
        <v>684</v>
      </c>
      <c r="F291" s="381"/>
      <c r="G291" s="381"/>
    </row>
    <row r="292" spans="1:7" ht="18" hidden="1">
      <c r="A292" s="3" t="s">
        <v>890</v>
      </c>
      <c r="B292" s="23"/>
      <c r="C292" s="23"/>
      <c r="D292" s="23"/>
      <c r="E292" s="23"/>
      <c r="F292" s="23"/>
      <c r="G292" s="23"/>
    </row>
    <row r="293" spans="1:7" ht="18" hidden="1">
      <c r="A293" s="15" t="s">
        <v>674</v>
      </c>
      <c r="B293" s="5"/>
      <c r="C293" s="5"/>
      <c r="D293" s="5"/>
      <c r="E293" s="5"/>
      <c r="F293" s="5"/>
      <c r="G293" s="5"/>
    </row>
    <row r="294" spans="1:7" ht="17.25" hidden="1">
      <c r="A294" s="15" t="s">
        <v>891</v>
      </c>
      <c r="B294" s="8"/>
      <c r="C294" s="8"/>
      <c r="D294" s="8"/>
      <c r="E294" s="8"/>
      <c r="F294" s="8"/>
      <c r="G294" s="8"/>
    </row>
    <row r="295" spans="1:7" ht="17.25" hidden="1">
      <c r="A295" s="15" t="s">
        <v>892</v>
      </c>
      <c r="B295" s="8"/>
      <c r="C295" s="8"/>
      <c r="D295" s="8"/>
      <c r="E295" s="8"/>
      <c r="F295" s="8"/>
      <c r="G295" s="8"/>
    </row>
    <row r="296" spans="1:7" ht="17.25" hidden="1">
      <c r="A296" s="15" t="s">
        <v>677</v>
      </c>
      <c r="B296" s="8"/>
      <c r="C296" s="8"/>
      <c r="D296" s="8"/>
      <c r="E296" s="8"/>
      <c r="F296" s="8"/>
      <c r="G296" s="8"/>
    </row>
    <row r="297" spans="1:7" ht="17.25" hidden="1">
      <c r="A297" s="15" t="s">
        <v>893</v>
      </c>
      <c r="B297" s="8"/>
      <c r="C297" s="8"/>
      <c r="D297" s="8"/>
      <c r="E297" s="8"/>
      <c r="F297" s="8"/>
      <c r="G297" s="8"/>
    </row>
    <row r="298" spans="1:7" ht="17.25" hidden="1">
      <c r="A298" s="15" t="s">
        <v>444</v>
      </c>
      <c r="B298" s="8"/>
      <c r="C298" s="8"/>
      <c r="D298" s="8"/>
      <c r="E298" s="8"/>
      <c r="F298" s="8"/>
      <c r="G298" s="8"/>
    </row>
    <row r="299" spans="1:7" ht="18" hidden="1">
      <c r="A299" s="15" t="s">
        <v>445</v>
      </c>
      <c r="B299" s="5"/>
      <c r="C299" s="5"/>
      <c r="D299" s="5"/>
      <c r="E299" s="5"/>
      <c r="F299" s="5"/>
      <c r="G299" s="5"/>
    </row>
    <row r="300" spans="1:7" ht="18" hidden="1">
      <c r="A300" s="2" t="s">
        <v>1057</v>
      </c>
      <c r="B300" s="8"/>
      <c r="C300" s="8"/>
      <c r="D300" s="8"/>
      <c r="E300" s="8"/>
      <c r="F300" s="8"/>
      <c r="G300" s="8"/>
    </row>
    <row r="301" spans="1:7" ht="18" hidden="1">
      <c r="A301" s="15" t="s">
        <v>674</v>
      </c>
      <c r="B301" s="5"/>
      <c r="C301" s="5"/>
      <c r="D301" s="5"/>
      <c r="E301" s="5"/>
      <c r="F301" s="5"/>
      <c r="G301" s="5"/>
    </row>
    <row r="302" spans="1:7" ht="17.25" hidden="1">
      <c r="A302" s="15" t="s">
        <v>446</v>
      </c>
      <c r="B302" s="8"/>
      <c r="C302" s="8"/>
      <c r="D302" s="8"/>
      <c r="E302" s="8"/>
      <c r="F302" s="8"/>
      <c r="G302" s="8"/>
    </row>
    <row r="303" spans="1:7" ht="17.25" hidden="1">
      <c r="A303" s="15" t="s">
        <v>892</v>
      </c>
      <c r="B303" s="8"/>
      <c r="C303" s="8"/>
      <c r="D303" s="8"/>
      <c r="E303" s="8"/>
      <c r="F303" s="8"/>
      <c r="G303" s="8"/>
    </row>
    <row r="304" spans="1:7" ht="17.25" hidden="1">
      <c r="A304" s="15" t="s">
        <v>677</v>
      </c>
      <c r="B304" s="8"/>
      <c r="C304" s="8"/>
      <c r="D304" s="8"/>
      <c r="E304" s="8"/>
      <c r="F304" s="8"/>
      <c r="G304" s="8"/>
    </row>
    <row r="305" spans="1:7" ht="17.25" hidden="1">
      <c r="A305" s="15" t="s">
        <v>893</v>
      </c>
      <c r="B305" s="8"/>
      <c r="C305" s="8"/>
      <c r="D305" s="8"/>
      <c r="E305" s="8"/>
      <c r="F305" s="8"/>
      <c r="G305" s="8"/>
    </row>
    <row r="306" spans="1:7" ht="17.25" hidden="1">
      <c r="A306" s="15" t="s">
        <v>444</v>
      </c>
      <c r="B306" s="8"/>
      <c r="C306" s="8"/>
      <c r="D306" s="8"/>
      <c r="E306" s="8"/>
      <c r="F306" s="8"/>
      <c r="G306" s="8"/>
    </row>
    <row r="307" spans="1:7" ht="18" hidden="1">
      <c r="A307" s="15" t="s">
        <v>445</v>
      </c>
      <c r="B307" s="5"/>
      <c r="C307" s="5"/>
      <c r="D307" s="5"/>
      <c r="E307" s="5"/>
      <c r="F307" s="5"/>
      <c r="G307" s="5"/>
    </row>
    <row r="308" spans="1:7" ht="18" hidden="1">
      <c r="A308" s="2" t="s">
        <v>894</v>
      </c>
      <c r="B308" s="8"/>
      <c r="C308" s="8"/>
      <c r="D308" s="8"/>
      <c r="E308" s="8"/>
      <c r="F308" s="8"/>
      <c r="G308" s="8"/>
    </row>
    <row r="309" spans="1:7" ht="18" hidden="1">
      <c r="A309" s="15" t="s">
        <v>447</v>
      </c>
      <c r="B309" s="5"/>
      <c r="C309" s="5"/>
      <c r="D309" s="5"/>
      <c r="E309" s="5"/>
      <c r="F309" s="5"/>
      <c r="G309" s="5"/>
    </row>
    <row r="310" spans="1:7" ht="18" hidden="1">
      <c r="A310" s="15" t="s">
        <v>973</v>
      </c>
      <c r="B310" s="5"/>
      <c r="C310" s="5"/>
      <c r="D310" s="5"/>
      <c r="E310" s="5"/>
      <c r="F310" s="5"/>
      <c r="G310" s="5"/>
    </row>
    <row r="311" spans="1:7" ht="17.25" hidden="1">
      <c r="A311" s="16"/>
      <c r="B311" s="17"/>
      <c r="C311" s="17"/>
      <c r="D311" s="17"/>
      <c r="E311" s="17"/>
      <c r="F311" s="17"/>
      <c r="G311" s="17"/>
    </row>
    <row r="312" ht="18" hidden="1">
      <c r="A312" s="6" t="s">
        <v>896</v>
      </c>
    </row>
    <row r="313" ht="18" hidden="1">
      <c r="A313" s="6" t="s">
        <v>895</v>
      </c>
    </row>
    <row r="314" ht="18" hidden="1">
      <c r="A314" s="6" t="s">
        <v>897</v>
      </c>
    </row>
    <row r="315" ht="18" hidden="1">
      <c r="A315" s="6"/>
    </row>
    <row r="316" spans="1:7" ht="18" hidden="1">
      <c r="A316" s="6" t="s">
        <v>84</v>
      </c>
      <c r="F316" s="284"/>
      <c r="G316" s="284"/>
    </row>
    <row r="317" spans="1:7" ht="17.25" hidden="1">
      <c r="A317" s="411" t="s">
        <v>687</v>
      </c>
      <c r="B317" s="165" t="s">
        <v>85</v>
      </c>
      <c r="C317" s="165" t="s">
        <v>87</v>
      </c>
      <c r="D317" s="165"/>
      <c r="E317" s="165"/>
      <c r="F317" s="411"/>
      <c r="G317" s="411" t="s">
        <v>409</v>
      </c>
    </row>
    <row r="318" spans="1:7" s="145" customFormat="1" ht="17.25" hidden="1">
      <c r="A318" s="381"/>
      <c r="B318" s="167" t="s">
        <v>86</v>
      </c>
      <c r="C318" s="168" t="s">
        <v>75</v>
      </c>
      <c r="D318" s="168"/>
      <c r="E318" s="168"/>
      <c r="F318" s="380"/>
      <c r="G318" s="380"/>
    </row>
    <row r="319" spans="1:7" ht="18" hidden="1">
      <c r="A319" s="3" t="s">
        <v>898</v>
      </c>
      <c r="B319" s="23"/>
      <c r="C319" s="23"/>
      <c r="D319" s="23"/>
      <c r="E319" s="23"/>
      <c r="F319" s="23"/>
      <c r="G319" s="23"/>
    </row>
    <row r="320" spans="1:7" ht="18" hidden="1">
      <c r="A320" s="15" t="s">
        <v>674</v>
      </c>
      <c r="B320" s="5">
        <v>0</v>
      </c>
      <c r="C320" s="5">
        <v>0</v>
      </c>
      <c r="D320" s="5">
        <v>0</v>
      </c>
      <c r="E320" s="5">
        <v>0</v>
      </c>
      <c r="F320" s="5">
        <v>0</v>
      </c>
      <c r="G320" s="5">
        <f>SUM(B320:F320)</f>
        <v>0</v>
      </c>
    </row>
    <row r="321" spans="1:7" ht="17.25" hidden="1">
      <c r="A321" s="15" t="s">
        <v>675</v>
      </c>
      <c r="B321" s="8">
        <v>0</v>
      </c>
      <c r="C321" s="8">
        <v>0</v>
      </c>
      <c r="D321" s="8">
        <v>0</v>
      </c>
      <c r="E321" s="8">
        <v>0</v>
      </c>
      <c r="F321" s="8">
        <v>0</v>
      </c>
      <c r="G321" s="8">
        <f aca="true" t="shared" si="4" ref="G321:G326">SUM(B321:F321)</f>
        <v>0</v>
      </c>
    </row>
    <row r="322" spans="1:7" ht="17.25" hidden="1">
      <c r="A322" s="15" t="s">
        <v>967</v>
      </c>
      <c r="B322" s="8">
        <v>0</v>
      </c>
      <c r="C322" s="8">
        <v>0</v>
      </c>
      <c r="D322" s="8"/>
      <c r="E322" s="8">
        <v>0</v>
      </c>
      <c r="F322" s="8">
        <v>0</v>
      </c>
      <c r="G322" s="8">
        <f t="shared" si="4"/>
        <v>0</v>
      </c>
    </row>
    <row r="323" spans="1:7" ht="17.25" hidden="1">
      <c r="A323" s="15" t="s">
        <v>899</v>
      </c>
      <c r="B323" s="8">
        <v>0</v>
      </c>
      <c r="C323" s="8">
        <v>0</v>
      </c>
      <c r="D323" s="8">
        <v>0</v>
      </c>
      <c r="E323" s="8">
        <v>0</v>
      </c>
      <c r="F323" s="8">
        <v>0</v>
      </c>
      <c r="G323" s="8">
        <f t="shared" si="4"/>
        <v>0</v>
      </c>
    </row>
    <row r="324" spans="1:7" ht="17.25" hidden="1">
      <c r="A324" s="15" t="s">
        <v>677</v>
      </c>
      <c r="B324" s="8">
        <v>0</v>
      </c>
      <c r="C324" s="8">
        <v>0</v>
      </c>
      <c r="D324" s="8">
        <v>0</v>
      </c>
      <c r="E324" s="8">
        <v>0</v>
      </c>
      <c r="F324" s="8">
        <v>0</v>
      </c>
      <c r="G324" s="8">
        <f t="shared" si="4"/>
        <v>0</v>
      </c>
    </row>
    <row r="325" spans="1:7" ht="17.25" hidden="1">
      <c r="A325" s="15" t="s">
        <v>443</v>
      </c>
      <c r="B325" s="8">
        <v>0</v>
      </c>
      <c r="C325" s="8">
        <v>0</v>
      </c>
      <c r="D325" s="8">
        <v>0</v>
      </c>
      <c r="E325" s="8">
        <v>0</v>
      </c>
      <c r="F325" s="8">
        <v>0</v>
      </c>
      <c r="G325" s="8">
        <f t="shared" si="4"/>
        <v>0</v>
      </c>
    </row>
    <row r="326" spans="1:7" ht="17.25" hidden="1">
      <c r="A326" s="15" t="s">
        <v>444</v>
      </c>
      <c r="B326" s="8">
        <v>0</v>
      </c>
      <c r="C326" s="8">
        <v>0</v>
      </c>
      <c r="D326" s="8">
        <v>0</v>
      </c>
      <c r="E326" s="8">
        <v>0</v>
      </c>
      <c r="F326" s="8">
        <v>0</v>
      </c>
      <c r="G326" s="8">
        <f t="shared" si="4"/>
        <v>0</v>
      </c>
    </row>
    <row r="327" spans="1:7" ht="18" hidden="1">
      <c r="A327" s="15" t="s">
        <v>445</v>
      </c>
      <c r="B327" s="5">
        <f aca="true" t="shared" si="5" ref="B327:G327">B320+B321+B322+B323+B324-B325-B326</f>
        <v>0</v>
      </c>
      <c r="C327" s="5">
        <f t="shared" si="5"/>
        <v>0</v>
      </c>
      <c r="D327" s="5">
        <f t="shared" si="5"/>
        <v>0</v>
      </c>
      <c r="E327" s="5">
        <f t="shared" si="5"/>
        <v>0</v>
      </c>
      <c r="F327" s="5">
        <f t="shared" si="5"/>
        <v>0</v>
      </c>
      <c r="G327" s="5">
        <f t="shared" si="5"/>
        <v>0</v>
      </c>
    </row>
    <row r="328" spans="1:7" ht="18" hidden="1">
      <c r="A328" s="2" t="s">
        <v>1057</v>
      </c>
      <c r="B328" s="8"/>
      <c r="C328" s="8"/>
      <c r="D328" s="8"/>
      <c r="E328" s="8"/>
      <c r="F328" s="8"/>
      <c r="G328" s="8"/>
    </row>
    <row r="329" spans="1:7" ht="18" hidden="1">
      <c r="A329" s="15" t="s">
        <v>674</v>
      </c>
      <c r="B329" s="5">
        <v>0</v>
      </c>
      <c r="C329" s="5">
        <v>0</v>
      </c>
      <c r="D329" s="5">
        <v>0</v>
      </c>
      <c r="E329" s="5">
        <v>0</v>
      </c>
      <c r="F329" s="5">
        <v>0</v>
      </c>
      <c r="G329" s="5">
        <f>SUM(B329:F329)</f>
        <v>0</v>
      </c>
    </row>
    <row r="330" spans="1:7" ht="17.25" hidden="1">
      <c r="A330" s="15" t="s">
        <v>446</v>
      </c>
      <c r="B330" s="8">
        <v>0</v>
      </c>
      <c r="C330" s="8">
        <v>0</v>
      </c>
      <c r="D330" s="8">
        <v>0</v>
      </c>
      <c r="E330" s="8">
        <v>0</v>
      </c>
      <c r="F330" s="8">
        <v>0</v>
      </c>
      <c r="G330" s="8">
        <f>SUM(B330:F330)</f>
        <v>0</v>
      </c>
    </row>
    <row r="331" spans="1:7" ht="17.25" hidden="1">
      <c r="A331" s="15" t="s">
        <v>892</v>
      </c>
      <c r="B331" s="8">
        <v>0</v>
      </c>
      <c r="C331" s="8">
        <v>0</v>
      </c>
      <c r="D331" s="8">
        <v>0</v>
      </c>
      <c r="E331" s="8">
        <v>0</v>
      </c>
      <c r="F331" s="8">
        <v>0</v>
      </c>
      <c r="G331" s="8">
        <f>SUM(B331:F331)</f>
        <v>0</v>
      </c>
    </row>
    <row r="332" spans="1:7" ht="17.25" hidden="1">
      <c r="A332" s="15" t="s">
        <v>677</v>
      </c>
      <c r="B332" s="8"/>
      <c r="C332" s="8"/>
      <c r="D332" s="8"/>
      <c r="E332" s="8"/>
      <c r="F332" s="8"/>
      <c r="G332" s="8"/>
    </row>
    <row r="333" spans="1:7" ht="17.25" hidden="1">
      <c r="A333" s="15" t="s">
        <v>893</v>
      </c>
      <c r="B333" s="8">
        <v>0</v>
      </c>
      <c r="C333" s="8">
        <v>0</v>
      </c>
      <c r="D333" s="8">
        <v>0</v>
      </c>
      <c r="E333" s="8">
        <v>0</v>
      </c>
      <c r="F333" s="8">
        <v>0</v>
      </c>
      <c r="G333" s="8">
        <f>SUM(B333:F333)</f>
        <v>0</v>
      </c>
    </row>
    <row r="334" spans="1:7" ht="17.25" hidden="1">
      <c r="A334" s="15" t="s">
        <v>444</v>
      </c>
      <c r="B334" s="8">
        <v>0</v>
      </c>
      <c r="C334" s="8">
        <v>0</v>
      </c>
      <c r="D334" s="8">
        <v>0</v>
      </c>
      <c r="E334" s="8">
        <v>0</v>
      </c>
      <c r="F334" s="8">
        <v>0</v>
      </c>
      <c r="G334" s="8">
        <f>SUM(B334:F334)</f>
        <v>0</v>
      </c>
    </row>
    <row r="335" spans="1:7" ht="18" hidden="1">
      <c r="A335" s="15" t="s">
        <v>445</v>
      </c>
      <c r="B335" s="5">
        <f aca="true" t="shared" si="6" ref="B335:G335">B329+B330-B331+B332-B333-B334</f>
        <v>0</v>
      </c>
      <c r="C335" s="5">
        <f t="shared" si="6"/>
        <v>0</v>
      </c>
      <c r="D335" s="5">
        <f t="shared" si="6"/>
        <v>0</v>
      </c>
      <c r="E335" s="5">
        <f t="shared" si="6"/>
        <v>0</v>
      </c>
      <c r="F335" s="5">
        <f t="shared" si="6"/>
        <v>0</v>
      </c>
      <c r="G335" s="5">
        <f t="shared" si="6"/>
        <v>0</v>
      </c>
    </row>
    <row r="336" spans="1:7" ht="18" hidden="1">
      <c r="A336" s="2" t="s">
        <v>894</v>
      </c>
      <c r="B336" s="8"/>
      <c r="C336" s="8"/>
      <c r="D336" s="8"/>
      <c r="E336" s="8"/>
      <c r="F336" s="8"/>
      <c r="G336" s="8"/>
    </row>
    <row r="337" spans="1:7" ht="18" hidden="1">
      <c r="A337" s="15" t="s">
        <v>447</v>
      </c>
      <c r="B337" s="5">
        <v>0</v>
      </c>
      <c r="C337" s="5">
        <v>0</v>
      </c>
      <c r="D337" s="5">
        <v>0</v>
      </c>
      <c r="E337" s="5">
        <v>0</v>
      </c>
      <c r="F337" s="5">
        <v>0</v>
      </c>
      <c r="G337" s="5">
        <f>SUM(B337:F337)</f>
        <v>0</v>
      </c>
    </row>
    <row r="338" spans="1:7" ht="18" hidden="1">
      <c r="A338" s="15" t="s">
        <v>973</v>
      </c>
      <c r="B338" s="5">
        <v>0</v>
      </c>
      <c r="C338" s="5">
        <v>0</v>
      </c>
      <c r="D338" s="5">
        <v>0</v>
      </c>
      <c r="E338" s="5">
        <v>0</v>
      </c>
      <c r="F338" s="5">
        <v>0</v>
      </c>
      <c r="G338" s="5">
        <f>SUM(B338:F338)</f>
        <v>0</v>
      </c>
    </row>
    <row r="339" spans="1:7" ht="17.25" hidden="1">
      <c r="A339" s="16"/>
      <c r="B339" s="17"/>
      <c r="C339" s="17"/>
      <c r="D339" s="17"/>
      <c r="E339" s="17"/>
      <c r="F339" s="17"/>
      <c r="G339" s="17"/>
    </row>
    <row r="340" spans="1:7" ht="17.25" hidden="1">
      <c r="A340" s="169" t="s">
        <v>900</v>
      </c>
      <c r="B340" s="24"/>
      <c r="C340" s="24"/>
      <c r="D340" s="24"/>
      <c r="E340" s="24"/>
      <c r="F340" s="24"/>
      <c r="G340" s="24"/>
    </row>
    <row r="341" spans="1:7" ht="17.25" hidden="1">
      <c r="A341" s="170"/>
      <c r="B341" s="24"/>
      <c r="C341" s="24"/>
      <c r="D341" s="24"/>
      <c r="E341" s="24"/>
      <c r="F341" s="24"/>
      <c r="G341" s="24"/>
    </row>
    <row r="342" spans="1:7" ht="15.75">
      <c r="A342" s="198" t="s">
        <v>901</v>
      </c>
      <c r="B342" s="199"/>
      <c r="C342" s="199"/>
      <c r="D342" s="199"/>
      <c r="E342" s="199"/>
      <c r="F342" s="252" t="s">
        <v>67</v>
      </c>
      <c r="G342" s="252" t="s">
        <v>869</v>
      </c>
    </row>
    <row r="343" spans="1:7" ht="15.75">
      <c r="A343" s="20" t="s">
        <v>902</v>
      </c>
      <c r="B343" s="201"/>
      <c r="C343" s="201"/>
      <c r="D343" s="201"/>
      <c r="E343" s="369">
        <f>F343-'B 01-DN CD KETOAN (R)'!D50</f>
        <v>0</v>
      </c>
      <c r="F343" s="361">
        <f>'BIEU 02-Bang CDSPS (R)'!L141</f>
        <v>63767985988</v>
      </c>
      <c r="G343" s="204">
        <f>'BIEU 02-Bang CDSPS (R)'!D141</f>
        <v>60496596569</v>
      </c>
    </row>
    <row r="344" spans="1:7" ht="15">
      <c r="A344" s="20" t="s">
        <v>690</v>
      </c>
      <c r="B344" s="201"/>
      <c r="C344" s="201"/>
      <c r="D344" s="201"/>
      <c r="E344" s="201"/>
      <c r="F344" s="184">
        <f>SUM(F345:F351)</f>
        <v>63767985988</v>
      </c>
      <c r="G344" s="202">
        <f>SUM(G345:G351)</f>
        <v>60496596569</v>
      </c>
    </row>
    <row r="345" spans="1:7" s="86" customFormat="1" ht="15">
      <c r="A345" s="218" t="s">
        <v>699</v>
      </c>
      <c r="B345" s="213"/>
      <c r="C345" s="213"/>
      <c r="D345" s="213"/>
      <c r="E345" s="213"/>
      <c r="F345" s="273">
        <f>6146480225+37588983811</f>
        <v>43735464036</v>
      </c>
      <c r="G345" s="72">
        <v>41647697768</v>
      </c>
    </row>
    <row r="346" spans="1:7" s="86" customFormat="1" ht="16.5" hidden="1">
      <c r="A346" s="218" t="s">
        <v>454</v>
      </c>
      <c r="B346" s="213"/>
      <c r="C346" s="213"/>
      <c r="D346" s="213"/>
      <c r="E346" s="213"/>
      <c r="F346" s="273"/>
      <c r="G346" s="72">
        <v>0</v>
      </c>
    </row>
    <row r="347" spans="1:7" s="86" customFormat="1" ht="16.5" hidden="1">
      <c r="A347" s="218" t="s">
        <v>455</v>
      </c>
      <c r="B347" s="213"/>
      <c r="C347" s="213"/>
      <c r="D347" s="213"/>
      <c r="E347" s="213"/>
      <c r="F347" s="273"/>
      <c r="G347" s="72">
        <v>0</v>
      </c>
    </row>
    <row r="348" spans="1:7" s="86" customFormat="1" ht="15">
      <c r="A348" s="218" t="s">
        <v>1139</v>
      </c>
      <c r="B348" s="213"/>
      <c r="C348" s="213"/>
      <c r="D348" s="213"/>
      <c r="E348" s="213"/>
      <c r="F348" s="273">
        <v>12887808910</v>
      </c>
      <c r="G348" s="72">
        <v>18503103219</v>
      </c>
    </row>
    <row r="349" spans="1:7" s="86" customFormat="1" ht="15">
      <c r="A349" s="218" t="s">
        <v>1141</v>
      </c>
      <c r="B349" s="213"/>
      <c r="C349" s="213"/>
      <c r="D349" s="213"/>
      <c r="E349" s="213"/>
      <c r="F349" s="273">
        <v>0</v>
      </c>
      <c r="G349" s="72">
        <v>111510655</v>
      </c>
    </row>
    <row r="350" spans="1:7" s="86" customFormat="1" ht="15">
      <c r="A350" s="218" t="s">
        <v>629</v>
      </c>
      <c r="B350" s="213"/>
      <c r="C350" s="213"/>
      <c r="D350" s="213"/>
      <c r="E350" s="213"/>
      <c r="F350" s="273">
        <f>117700909+6097513174+929498959</f>
        <v>7144713042</v>
      </c>
      <c r="G350" s="72">
        <v>0</v>
      </c>
    </row>
    <row r="351" spans="1:7" s="86" customFormat="1" ht="15">
      <c r="A351" s="218" t="s">
        <v>1140</v>
      </c>
      <c r="B351" s="213"/>
      <c r="C351" s="213"/>
      <c r="D351" s="213"/>
      <c r="E351" s="213"/>
      <c r="F351" s="273">
        <v>0</v>
      </c>
      <c r="G351" s="72">
        <v>234284927</v>
      </c>
    </row>
    <row r="352" spans="1:7" s="86" customFormat="1" ht="16.5" hidden="1">
      <c r="A352" s="218"/>
      <c r="B352" s="213"/>
      <c r="C352" s="213"/>
      <c r="D352" s="213"/>
      <c r="E352" s="213"/>
      <c r="F352" s="72"/>
      <c r="G352" s="219"/>
    </row>
    <row r="353" spans="1:7" ht="18" hidden="1">
      <c r="A353" s="27" t="s">
        <v>903</v>
      </c>
      <c r="B353" s="201"/>
      <c r="C353" s="201"/>
      <c r="D353" s="201"/>
      <c r="E353" s="201"/>
      <c r="F353" s="8"/>
      <c r="G353" s="43"/>
    </row>
    <row r="354" spans="1:7" ht="17.25" hidden="1">
      <c r="A354" s="412" t="s">
        <v>687</v>
      </c>
      <c r="B354" s="220" t="s">
        <v>911</v>
      </c>
      <c r="C354" s="220" t="s">
        <v>924</v>
      </c>
      <c r="D354" s="220" t="s">
        <v>925</v>
      </c>
      <c r="E354" s="223" t="s">
        <v>911</v>
      </c>
      <c r="F354" s="8"/>
      <c r="G354" s="43"/>
    </row>
    <row r="355" spans="1:7" ht="17.25" hidden="1">
      <c r="A355" s="412"/>
      <c r="B355" s="220" t="s">
        <v>912</v>
      </c>
      <c r="C355" s="220" t="s">
        <v>913</v>
      </c>
      <c r="D355" s="220" t="s">
        <v>913</v>
      </c>
      <c r="E355" s="223" t="s">
        <v>914</v>
      </c>
      <c r="F355" s="8"/>
      <c r="G355" s="43"/>
    </row>
    <row r="356" spans="1:7" ht="18" hidden="1">
      <c r="A356" s="2" t="s">
        <v>904</v>
      </c>
      <c r="B356" s="8"/>
      <c r="C356" s="8"/>
      <c r="D356" s="8"/>
      <c r="E356" s="19"/>
      <c r="F356" s="8"/>
      <c r="G356" s="43"/>
    </row>
    <row r="357" spans="1:7" ht="17.25" hidden="1">
      <c r="A357" s="15" t="s">
        <v>905</v>
      </c>
      <c r="B357" s="8"/>
      <c r="C357" s="8"/>
      <c r="D357" s="8"/>
      <c r="E357" s="19"/>
      <c r="F357" s="8"/>
      <c r="G357" s="43"/>
    </row>
    <row r="358" spans="1:7" ht="17.25" hidden="1">
      <c r="A358" s="15" t="s">
        <v>906</v>
      </c>
      <c r="B358" s="8"/>
      <c r="C358" s="8"/>
      <c r="D358" s="8"/>
      <c r="E358" s="19"/>
      <c r="F358" s="8"/>
      <c r="G358" s="43"/>
    </row>
    <row r="359" spans="1:7" ht="17.25" hidden="1">
      <c r="A359" s="15" t="s">
        <v>907</v>
      </c>
      <c r="B359" s="8"/>
      <c r="C359" s="8"/>
      <c r="D359" s="8"/>
      <c r="E359" s="19"/>
      <c r="F359" s="8"/>
      <c r="G359" s="43"/>
    </row>
    <row r="360" spans="1:7" ht="17.25" hidden="1">
      <c r="A360" s="15" t="s">
        <v>908</v>
      </c>
      <c r="B360" s="8"/>
      <c r="C360" s="8"/>
      <c r="D360" s="8"/>
      <c r="E360" s="19"/>
      <c r="F360" s="8"/>
      <c r="G360" s="43"/>
    </row>
    <row r="361" spans="1:7" ht="18" hidden="1">
      <c r="A361" s="2" t="s">
        <v>909</v>
      </c>
      <c r="B361" s="8"/>
      <c r="C361" s="8"/>
      <c r="D361" s="8"/>
      <c r="E361" s="19"/>
      <c r="F361" s="8"/>
      <c r="G361" s="43"/>
    </row>
    <row r="362" spans="1:7" ht="17.25" hidden="1">
      <c r="A362" s="15" t="s">
        <v>905</v>
      </c>
      <c r="B362" s="8"/>
      <c r="C362" s="8"/>
      <c r="D362" s="8"/>
      <c r="E362" s="19"/>
      <c r="F362" s="8"/>
      <c r="G362" s="43"/>
    </row>
    <row r="363" spans="1:7" ht="17.25" hidden="1">
      <c r="A363" s="15" t="s">
        <v>906</v>
      </c>
      <c r="B363" s="8"/>
      <c r="C363" s="8"/>
      <c r="D363" s="8"/>
      <c r="E363" s="19"/>
      <c r="F363" s="8"/>
      <c r="G363" s="43"/>
    </row>
    <row r="364" spans="1:7" ht="17.25" hidden="1">
      <c r="A364" s="15" t="s">
        <v>907</v>
      </c>
      <c r="B364" s="8"/>
      <c r="C364" s="8"/>
      <c r="D364" s="8"/>
      <c r="E364" s="19"/>
      <c r="F364" s="8"/>
      <c r="G364" s="43"/>
    </row>
    <row r="365" spans="1:7" ht="17.25" hidden="1">
      <c r="A365" s="15" t="s">
        <v>908</v>
      </c>
      <c r="B365" s="8"/>
      <c r="C365" s="8"/>
      <c r="D365" s="8"/>
      <c r="E365" s="19"/>
      <c r="F365" s="8"/>
      <c r="G365" s="43"/>
    </row>
    <row r="366" spans="1:7" ht="18" hidden="1">
      <c r="A366" s="2" t="s">
        <v>910</v>
      </c>
      <c r="B366" s="8"/>
      <c r="C366" s="8"/>
      <c r="D366" s="8"/>
      <c r="E366" s="19"/>
      <c r="F366" s="8"/>
      <c r="G366" s="43"/>
    </row>
    <row r="367" spans="1:7" ht="17.25" hidden="1">
      <c r="A367" s="15" t="s">
        <v>905</v>
      </c>
      <c r="B367" s="8"/>
      <c r="C367" s="8"/>
      <c r="D367" s="8"/>
      <c r="E367" s="19"/>
      <c r="F367" s="8"/>
      <c r="G367" s="43"/>
    </row>
    <row r="368" spans="1:7" ht="17.25" hidden="1">
      <c r="A368" s="15" t="s">
        <v>906</v>
      </c>
      <c r="B368" s="8"/>
      <c r="C368" s="8"/>
      <c r="D368" s="8"/>
      <c r="E368" s="19"/>
      <c r="F368" s="8"/>
      <c r="G368" s="43"/>
    </row>
    <row r="369" spans="1:7" ht="17.25" hidden="1">
      <c r="A369" s="15" t="s">
        <v>907</v>
      </c>
      <c r="B369" s="8"/>
      <c r="C369" s="8"/>
      <c r="D369" s="8"/>
      <c r="E369" s="19"/>
      <c r="F369" s="8"/>
      <c r="G369" s="43"/>
    </row>
    <row r="370" spans="1:7" ht="17.25" hidden="1">
      <c r="A370" s="15" t="s">
        <v>908</v>
      </c>
      <c r="B370" s="8"/>
      <c r="C370" s="8"/>
      <c r="D370" s="8"/>
      <c r="E370" s="19"/>
      <c r="F370" s="8"/>
      <c r="G370" s="43"/>
    </row>
    <row r="371" spans="1:7" ht="17.25" hidden="1">
      <c r="A371" s="15"/>
      <c r="B371" s="8"/>
      <c r="C371" s="8"/>
      <c r="D371" s="8"/>
      <c r="E371" s="19"/>
      <c r="F371" s="8"/>
      <c r="G371" s="43"/>
    </row>
    <row r="372" spans="1:7" ht="17.25" hidden="1">
      <c r="A372" s="221" t="s">
        <v>900</v>
      </c>
      <c r="B372" s="201"/>
      <c r="C372" s="201"/>
      <c r="D372" s="201"/>
      <c r="E372" s="201"/>
      <c r="F372" s="8"/>
      <c r="G372" s="43"/>
    </row>
    <row r="373" spans="1:7" ht="17.25" hidden="1">
      <c r="A373" s="222" t="s">
        <v>797</v>
      </c>
      <c r="B373" s="201"/>
      <c r="C373" s="201"/>
      <c r="D373" s="201"/>
      <c r="E373" s="201"/>
      <c r="F373" s="8"/>
      <c r="G373" s="43"/>
    </row>
    <row r="374" spans="1:7" ht="15.75">
      <c r="A374" s="27"/>
      <c r="B374" s="201"/>
      <c r="C374" s="201"/>
      <c r="D374" s="201"/>
      <c r="E374" s="201"/>
      <c r="F374" s="8"/>
      <c r="G374" s="43"/>
    </row>
    <row r="375" spans="1:7" ht="15.75">
      <c r="A375" s="27" t="s">
        <v>972</v>
      </c>
      <c r="B375" s="201"/>
      <c r="C375" s="201"/>
      <c r="D375" s="201"/>
      <c r="E375" s="201"/>
      <c r="F375" s="227" t="s">
        <v>67</v>
      </c>
      <c r="G375" s="227" t="s">
        <v>869</v>
      </c>
    </row>
    <row r="376" spans="1:7" ht="17.25" hidden="1">
      <c r="A376" s="20" t="s">
        <v>915</v>
      </c>
      <c r="B376" s="201"/>
      <c r="C376" s="201"/>
      <c r="D376" s="201"/>
      <c r="E376" s="201"/>
      <c r="F376" s="70"/>
      <c r="G376" s="202"/>
    </row>
    <row r="377" spans="1:7" ht="15">
      <c r="A377" s="20" t="s">
        <v>916</v>
      </c>
      <c r="B377" s="201"/>
      <c r="C377" s="201"/>
      <c r="D377" s="201"/>
      <c r="E377" s="201"/>
      <c r="F377" s="184">
        <f>'BIEU 02-Bang CDSPS (R)'!L136</f>
        <v>554400000</v>
      </c>
      <c r="G377" s="202">
        <f>'BIEU 02-Bang CDSPS (R)'!D136</f>
        <v>654400000</v>
      </c>
    </row>
    <row r="378" spans="1:7" ht="17.25" hidden="1">
      <c r="A378" s="20" t="s">
        <v>917</v>
      </c>
      <c r="B378" s="201"/>
      <c r="C378" s="201"/>
      <c r="D378" s="201"/>
      <c r="E378" s="201"/>
      <c r="F378" s="184">
        <v>0</v>
      </c>
      <c r="G378" s="202"/>
    </row>
    <row r="379" spans="1:7" ht="17.25" hidden="1">
      <c r="A379" s="20" t="s">
        <v>968</v>
      </c>
      <c r="B379" s="201"/>
      <c r="C379" s="201"/>
      <c r="D379" s="201"/>
      <c r="E379" s="201"/>
      <c r="F379" s="184">
        <v>0</v>
      </c>
      <c r="G379" s="202"/>
    </row>
    <row r="380" spans="1:7" ht="15">
      <c r="A380" s="20" t="s">
        <v>694</v>
      </c>
      <c r="B380" s="201"/>
      <c r="C380" s="201"/>
      <c r="D380" s="201"/>
      <c r="E380" s="201"/>
      <c r="F380" s="184">
        <f>'BIEU 02-Bang CDSPS (R)'!L137</f>
        <v>118914553550</v>
      </c>
      <c r="G380" s="202">
        <f>'BIEU 02-Bang CDSPS (R)'!D137</f>
        <v>100514553550</v>
      </c>
    </row>
    <row r="381" spans="1:7" ht="15.75">
      <c r="A381" s="203" t="s">
        <v>695</v>
      </c>
      <c r="B381" s="201"/>
      <c r="C381" s="201"/>
      <c r="D381" s="201"/>
      <c r="E381" s="369">
        <f>F381-'B 01-DN CD KETOAN (R)'!D57</f>
        <v>0</v>
      </c>
      <c r="F381" s="361">
        <f>SUM(F376:F380)</f>
        <v>119468953550</v>
      </c>
      <c r="G381" s="204">
        <f>SUM(G376:G380)</f>
        <v>101168953550</v>
      </c>
    </row>
    <row r="382" spans="1:7" ht="17.25" hidden="1">
      <c r="A382" s="20"/>
      <c r="B382" s="201"/>
      <c r="C382" s="201"/>
      <c r="D382" s="201"/>
      <c r="E382" s="201"/>
      <c r="F382" s="8"/>
      <c r="G382" s="202"/>
    </row>
    <row r="383" spans="1:7" ht="17.25" hidden="1">
      <c r="A383" s="20" t="s">
        <v>696</v>
      </c>
      <c r="B383" s="201"/>
      <c r="C383" s="201"/>
      <c r="D383" s="201"/>
      <c r="E383" s="201"/>
      <c r="F383" s="8"/>
      <c r="G383" s="202"/>
    </row>
    <row r="384" spans="1:7" ht="15">
      <c r="A384" s="20"/>
      <c r="B384" s="201"/>
      <c r="C384" s="201"/>
      <c r="D384" s="201"/>
      <c r="E384" s="201"/>
      <c r="F384" s="8"/>
      <c r="G384" s="202"/>
    </row>
    <row r="385" spans="1:7" ht="15.75">
      <c r="A385" s="27" t="s">
        <v>1024</v>
      </c>
      <c r="B385" s="201"/>
      <c r="C385" s="201"/>
      <c r="D385" s="201"/>
      <c r="E385" s="201"/>
      <c r="F385" s="227" t="s">
        <v>67</v>
      </c>
      <c r="G385" s="227" t="s">
        <v>869</v>
      </c>
    </row>
    <row r="386" spans="1:7" ht="15">
      <c r="A386" s="20" t="s">
        <v>211</v>
      </c>
      <c r="B386" s="201"/>
      <c r="C386" s="201"/>
      <c r="D386" s="201"/>
      <c r="E386" s="201"/>
      <c r="F386" s="184">
        <f>30351430299-3793928787</f>
        <v>26557501512</v>
      </c>
      <c r="G386" s="70">
        <f>34145359086-3793928787</f>
        <v>30351430299</v>
      </c>
    </row>
    <row r="387" spans="1:7" ht="17.25" hidden="1">
      <c r="A387" s="20" t="s">
        <v>1025</v>
      </c>
      <c r="B387" s="201"/>
      <c r="C387" s="201"/>
      <c r="D387" s="201"/>
      <c r="E387" s="201"/>
      <c r="F387" s="184"/>
      <c r="G387" s="43"/>
    </row>
    <row r="388" spans="1:7" ht="17.25" hidden="1">
      <c r="A388" s="20" t="s">
        <v>1026</v>
      </c>
      <c r="B388" s="201"/>
      <c r="C388" s="201"/>
      <c r="D388" s="201"/>
      <c r="E388" s="201"/>
      <c r="F388" s="184"/>
      <c r="G388" s="43"/>
    </row>
    <row r="389" spans="1:7" ht="17.25" hidden="1">
      <c r="A389" s="20" t="s">
        <v>1027</v>
      </c>
      <c r="B389" s="201"/>
      <c r="C389" s="201"/>
      <c r="D389" s="201"/>
      <c r="E389" s="201"/>
      <c r="F389" s="184"/>
      <c r="G389" s="43"/>
    </row>
    <row r="390" spans="1:7" ht="15">
      <c r="A390" s="20" t="s">
        <v>210</v>
      </c>
      <c r="B390" s="201"/>
      <c r="C390" s="201"/>
      <c r="D390" s="201"/>
      <c r="E390" s="201"/>
      <c r="F390" s="184">
        <f>'BIEU 02-Bang CDSPS (R)'!L143-F386</f>
        <v>6482546355</v>
      </c>
      <c r="G390" s="202">
        <f>'BIEU 02-Bang CDSPS (R)'!D143-G386</f>
        <v>1718402203</v>
      </c>
    </row>
    <row r="391" spans="1:7" ht="15.75">
      <c r="A391" s="207" t="s">
        <v>695</v>
      </c>
      <c r="B391" s="208"/>
      <c r="C391" s="208"/>
      <c r="D391" s="208"/>
      <c r="E391" s="370">
        <f>F391-'B 01-DN CD KETOAN (R)'!D60</f>
        <v>0</v>
      </c>
      <c r="F391" s="363">
        <f>SUM(F386:F390)</f>
        <v>33040047867</v>
      </c>
      <c r="G391" s="209">
        <f>SUM(G386:G390)</f>
        <v>32069832502</v>
      </c>
    </row>
    <row r="392" spans="1:7" ht="15.75">
      <c r="A392" s="61"/>
      <c r="B392" s="24"/>
      <c r="C392" s="24"/>
      <c r="D392" s="24"/>
      <c r="E392" s="24"/>
      <c r="F392" s="286"/>
      <c r="G392" s="286"/>
    </row>
    <row r="393" spans="6:7" ht="15">
      <c r="F393" s="24"/>
      <c r="G393" s="24"/>
    </row>
    <row r="394" spans="1:7" ht="15.75">
      <c r="A394" s="198" t="s">
        <v>1028</v>
      </c>
      <c r="B394" s="199"/>
      <c r="C394" s="199"/>
      <c r="D394" s="199"/>
      <c r="E394" s="199"/>
      <c r="F394" s="252" t="s">
        <v>67</v>
      </c>
      <c r="G394" s="252" t="s">
        <v>869</v>
      </c>
    </row>
    <row r="395" spans="1:7" ht="15">
      <c r="A395" s="20" t="s">
        <v>697</v>
      </c>
      <c r="B395" s="201"/>
      <c r="C395" s="201"/>
      <c r="D395" s="201"/>
      <c r="E395" s="201"/>
      <c r="F395" s="184">
        <f>'BIEU 02-Bang CDSPS (R)'!N151</f>
        <v>1506930393</v>
      </c>
      <c r="G395" s="202"/>
    </row>
    <row r="396" spans="1:7" ht="15">
      <c r="A396" s="20" t="s">
        <v>1029</v>
      </c>
      <c r="B396" s="201"/>
      <c r="C396" s="201"/>
      <c r="D396" s="201"/>
      <c r="E396" s="201"/>
      <c r="F396" s="184">
        <f>'BIEU 02-Bang CDSPS (R)'!N153</f>
        <v>10086802005</v>
      </c>
      <c r="G396" s="202">
        <f>'BIEU 02-Bang CDSPS (R)'!F153</f>
        <v>12388646459</v>
      </c>
    </row>
    <row r="397" spans="1:7" ht="15.75">
      <c r="A397" s="203" t="s">
        <v>695</v>
      </c>
      <c r="B397" s="201"/>
      <c r="C397" s="201"/>
      <c r="D397" s="201"/>
      <c r="E397" s="369">
        <f>F397-'B 01-DN CD KETOAN (R)'!D72</f>
        <v>0</v>
      </c>
      <c r="F397" s="361">
        <f>SUM(F395:F396)</f>
        <v>11593732398</v>
      </c>
      <c r="G397" s="204">
        <f>SUM(G395:G396)</f>
        <v>12388646459</v>
      </c>
    </row>
    <row r="398" spans="1:7" ht="15">
      <c r="A398" s="20"/>
      <c r="B398" s="201"/>
      <c r="C398" s="201"/>
      <c r="D398" s="201"/>
      <c r="E398" s="201"/>
      <c r="F398" s="8"/>
      <c r="G398" s="43"/>
    </row>
    <row r="399" spans="1:7" ht="15.75">
      <c r="A399" s="27" t="s">
        <v>850</v>
      </c>
      <c r="B399" s="201"/>
      <c r="C399" s="201"/>
      <c r="D399" s="201"/>
      <c r="E399" s="201"/>
      <c r="F399" s="227" t="s">
        <v>67</v>
      </c>
      <c r="G399" s="227" t="s">
        <v>869</v>
      </c>
    </row>
    <row r="400" spans="1:7" ht="15">
      <c r="A400" s="20" t="s">
        <v>845</v>
      </c>
      <c r="B400" s="201"/>
      <c r="C400" s="201"/>
      <c r="D400" s="201"/>
      <c r="E400" s="201"/>
      <c r="F400" s="8"/>
      <c r="G400" s="202"/>
    </row>
    <row r="401" spans="1:7" ht="15">
      <c r="A401" s="20" t="s">
        <v>772</v>
      </c>
      <c r="B401" s="201"/>
      <c r="C401" s="201"/>
      <c r="D401" s="201"/>
      <c r="E401" s="201"/>
      <c r="F401" s="184">
        <f>'BIEU 02-Bang CDSPS (R)'!N160</f>
        <v>85214795</v>
      </c>
      <c r="G401" s="202">
        <f>'BIEU 02-Bang CDSPS (R)'!F160</f>
        <v>1305445334</v>
      </c>
    </row>
    <row r="402" spans="1:7" ht="17.25" hidden="1">
      <c r="A402" s="20" t="s">
        <v>774</v>
      </c>
      <c r="B402" s="201"/>
      <c r="C402" s="201"/>
      <c r="D402" s="201"/>
      <c r="E402" s="201"/>
      <c r="F402" s="184">
        <f>'BIEU 02-Bang CDSPS (R)'!N161</f>
        <v>0</v>
      </c>
      <c r="G402" s="202">
        <f>'BIEU 02-Bang CDSPS (R)'!F161</f>
        <v>0</v>
      </c>
    </row>
    <row r="403" spans="1:7" ht="17.25" hidden="1">
      <c r="A403" s="20" t="s">
        <v>773</v>
      </c>
      <c r="B403" s="201"/>
      <c r="C403" s="201"/>
      <c r="D403" s="201"/>
      <c r="E403" s="201"/>
      <c r="F403" s="184">
        <f>'BIEU 02-Bang CDSPS (R)'!N162</f>
        <v>1161979613</v>
      </c>
      <c r="G403" s="202">
        <f>'BIEU 02-Bang CDSPS (R)'!F162</f>
        <v>0</v>
      </c>
    </row>
    <row r="404" spans="1:7" ht="15">
      <c r="A404" s="20" t="s">
        <v>785</v>
      </c>
      <c r="B404" s="201"/>
      <c r="C404" s="201"/>
      <c r="D404" s="201"/>
      <c r="E404" s="201"/>
      <c r="F404" s="184">
        <f>'BIEU 02-Bang CDSPS (R)'!N163</f>
        <v>13997563125</v>
      </c>
      <c r="G404" s="202">
        <f>'BIEU 02-Bang CDSPS (R)'!F163</f>
        <v>0</v>
      </c>
    </row>
    <row r="405" spans="1:7" ht="15">
      <c r="A405" s="20" t="s">
        <v>786</v>
      </c>
      <c r="B405" s="201"/>
      <c r="C405" s="201"/>
      <c r="D405" s="201"/>
      <c r="E405" s="201"/>
      <c r="F405" s="184">
        <f>'BIEU 02-Bang CDSPS (R)'!N164</f>
        <v>0</v>
      </c>
      <c r="G405" s="202">
        <f>'BIEU 02-Bang CDSPS (R)'!F164</f>
        <v>0</v>
      </c>
    </row>
    <row r="406" spans="1:7" ht="15">
      <c r="A406" s="20" t="s">
        <v>787</v>
      </c>
      <c r="B406" s="201"/>
      <c r="C406" s="201"/>
      <c r="D406" s="201"/>
      <c r="E406" s="201"/>
      <c r="F406" s="184">
        <f>'BIEU 02-Bang CDSPS (R)'!N165</f>
        <v>0</v>
      </c>
      <c r="G406" s="202">
        <f>'BIEU 02-Bang CDSPS (R)'!F165</f>
        <v>0</v>
      </c>
    </row>
    <row r="407" spans="1:7" ht="15">
      <c r="A407" s="20" t="s">
        <v>788</v>
      </c>
      <c r="B407" s="201"/>
      <c r="C407" s="201"/>
      <c r="D407" s="201"/>
      <c r="E407" s="201"/>
      <c r="F407" s="184">
        <f>'BIEU 02-Bang CDSPS (R)'!N166</f>
        <v>563513500</v>
      </c>
      <c r="G407" s="202">
        <f>'BIEU 02-Bang CDSPS (R)'!F166</f>
        <v>5266016700</v>
      </c>
    </row>
    <row r="408" spans="1:7" ht="17.25" hidden="1">
      <c r="A408" s="206" t="s">
        <v>846</v>
      </c>
      <c r="B408" s="201"/>
      <c r="C408" s="201"/>
      <c r="D408" s="201"/>
      <c r="E408" s="201"/>
      <c r="F408" s="184"/>
      <c r="G408" s="202"/>
    </row>
    <row r="409" spans="1:7" ht="17.25" hidden="1">
      <c r="A409" s="206" t="s">
        <v>847</v>
      </c>
      <c r="B409" s="201"/>
      <c r="C409" s="201"/>
      <c r="D409" s="201"/>
      <c r="E409" s="201"/>
      <c r="F409" s="184"/>
      <c r="G409" s="202"/>
    </row>
    <row r="410" spans="1:7" ht="17.25" hidden="1">
      <c r="A410" s="206" t="s">
        <v>848</v>
      </c>
      <c r="B410" s="201"/>
      <c r="C410" s="201"/>
      <c r="D410" s="201"/>
      <c r="E410" s="201"/>
      <c r="F410" s="184"/>
      <c r="G410" s="202"/>
    </row>
    <row r="411" spans="1:7" ht="15.75">
      <c r="A411" s="203" t="s">
        <v>695</v>
      </c>
      <c r="B411" s="201"/>
      <c r="C411" s="201"/>
      <c r="D411" s="201"/>
      <c r="E411" s="369">
        <f>F411-'B 01-DN CD KETOAN (R)'!D75</f>
        <v>0</v>
      </c>
      <c r="F411" s="361">
        <f>SUM(F401:F410)</f>
        <v>15808271033</v>
      </c>
      <c r="G411" s="204">
        <f>SUM(G401:G410)</f>
        <v>6571462034</v>
      </c>
    </row>
    <row r="412" spans="1:7" ht="15.75">
      <c r="A412" s="203"/>
      <c r="B412" s="201"/>
      <c r="C412" s="201"/>
      <c r="D412" s="201"/>
      <c r="E412" s="201"/>
      <c r="F412" s="5"/>
      <c r="G412" s="44"/>
    </row>
    <row r="413" spans="1:7" ht="15.75">
      <c r="A413" s="27" t="s">
        <v>849</v>
      </c>
      <c r="B413" s="201"/>
      <c r="C413" s="201"/>
      <c r="D413" s="201"/>
      <c r="E413" s="201"/>
      <c r="F413" s="227" t="s">
        <v>67</v>
      </c>
      <c r="G413" s="227" t="s">
        <v>869</v>
      </c>
    </row>
    <row r="414" spans="1:7" ht="15">
      <c r="A414" s="20" t="s">
        <v>1030</v>
      </c>
      <c r="B414" s="201"/>
      <c r="C414" s="201"/>
      <c r="D414" s="201"/>
      <c r="E414" s="201"/>
      <c r="F414" s="364">
        <f>'BIEU 02-Bang CDSPS (R)'!N176-F415</f>
        <v>147328029</v>
      </c>
      <c r="G414" s="224">
        <f>'BIEU 02-Bang CDSPS (R)'!F176-G415</f>
        <v>272752400</v>
      </c>
    </row>
    <row r="415" spans="1:7" ht="15">
      <c r="A415" s="20" t="s">
        <v>46</v>
      </c>
      <c r="B415" s="201"/>
      <c r="C415" s="201"/>
      <c r="D415" s="201"/>
      <c r="E415" s="201"/>
      <c r="F415" s="184">
        <v>68370193</v>
      </c>
      <c r="G415" s="70">
        <v>79560000</v>
      </c>
    </row>
    <row r="416" spans="1:7" ht="17.25" hidden="1">
      <c r="A416" s="20" t="s">
        <v>1031</v>
      </c>
      <c r="B416" s="201"/>
      <c r="C416" s="201"/>
      <c r="D416" s="201"/>
      <c r="E416" s="201"/>
      <c r="F416" s="184"/>
      <c r="G416" s="224"/>
    </row>
    <row r="417" spans="1:7" ht="17.25" hidden="1">
      <c r="A417" s="20" t="s">
        <v>1032</v>
      </c>
      <c r="B417" s="201"/>
      <c r="C417" s="201"/>
      <c r="D417" s="201"/>
      <c r="E417" s="201"/>
      <c r="F417" s="184"/>
      <c r="G417" s="202"/>
    </row>
    <row r="418" spans="1:7" ht="15.75">
      <c r="A418" s="203" t="s">
        <v>695</v>
      </c>
      <c r="B418" s="201"/>
      <c r="C418" s="201"/>
      <c r="D418" s="201"/>
      <c r="E418" s="369">
        <f>F418-'B 01-DN CD KETOAN (R)'!D77</f>
        <v>0</v>
      </c>
      <c r="F418" s="361">
        <f>SUM(F414:F417)</f>
        <v>215698222</v>
      </c>
      <c r="G418" s="204">
        <f>SUM(G414:G417)</f>
        <v>352312400</v>
      </c>
    </row>
    <row r="419" spans="1:7" ht="15.75">
      <c r="A419" s="203"/>
      <c r="B419" s="201"/>
      <c r="C419" s="201"/>
      <c r="D419" s="201"/>
      <c r="E419" s="201"/>
      <c r="F419" s="5"/>
      <c r="G419" s="44"/>
    </row>
    <row r="420" spans="1:7" ht="15.75">
      <c r="A420" s="27" t="s">
        <v>988</v>
      </c>
      <c r="B420" s="201"/>
      <c r="C420" s="201"/>
      <c r="D420" s="201"/>
      <c r="E420" s="201"/>
      <c r="F420" s="227" t="s">
        <v>67</v>
      </c>
      <c r="G420" s="227" t="s">
        <v>869</v>
      </c>
    </row>
    <row r="421" spans="1:7" ht="15">
      <c r="A421" s="20" t="s">
        <v>555</v>
      </c>
      <c r="B421" s="201"/>
      <c r="C421" s="201"/>
      <c r="D421" s="201"/>
      <c r="E421" s="201"/>
      <c r="F421" s="184">
        <f>'BIEU 02-Bang CDSPS (R)'!N184</f>
        <v>1567075808</v>
      </c>
      <c r="G421" s="202">
        <f>'BIEU 02-Bang CDSPS (R)'!F184</f>
        <v>1377156603</v>
      </c>
    </row>
    <row r="422" spans="1:7" ht="15">
      <c r="A422" s="20" t="s">
        <v>630</v>
      </c>
      <c r="B422" s="201"/>
      <c r="C422" s="201"/>
      <c r="D422" s="201"/>
      <c r="E422" s="201"/>
      <c r="F422" s="184">
        <v>315585362</v>
      </c>
      <c r="G422" s="70">
        <v>674276938</v>
      </c>
    </row>
    <row r="423" spans="1:7" ht="15">
      <c r="A423" s="20" t="s">
        <v>1142</v>
      </c>
      <c r="B423" s="201"/>
      <c r="C423" s="201"/>
      <c r="D423" s="201"/>
      <c r="E423" s="201"/>
      <c r="F423" s="184">
        <f>28275000+11250000+2250000</f>
        <v>41775000</v>
      </c>
      <c r="G423" s="202">
        <v>95375000</v>
      </c>
    </row>
    <row r="424" spans="1:7" ht="15">
      <c r="A424" s="20" t="s">
        <v>191</v>
      </c>
      <c r="B424" s="201"/>
      <c r="C424" s="201"/>
      <c r="D424" s="201"/>
      <c r="E424" s="201"/>
      <c r="F424" s="184">
        <f>3780000000+55000000</f>
        <v>3835000000</v>
      </c>
      <c r="G424" s="202">
        <v>3780000000</v>
      </c>
    </row>
    <row r="425" spans="1:7" ht="15">
      <c r="A425" s="20" t="s">
        <v>192</v>
      </c>
      <c r="B425" s="201"/>
      <c r="C425" s="201"/>
      <c r="D425" s="201"/>
      <c r="E425" s="201"/>
      <c r="F425" s="184">
        <v>2915417034</v>
      </c>
      <c r="G425" s="202">
        <v>4533535000</v>
      </c>
    </row>
    <row r="426" spans="1:7" ht="15">
      <c r="A426" s="20" t="s">
        <v>554</v>
      </c>
      <c r="B426" s="201"/>
      <c r="C426" s="201"/>
      <c r="D426" s="201"/>
      <c r="E426" s="201"/>
      <c r="F426" s="184">
        <f>'BIEU 02-Bang CDSPS (R)'!N185</f>
        <v>0</v>
      </c>
      <c r="G426" s="276">
        <f>'BIEU 02-Bang CDSPS (R)'!F185</f>
        <v>0</v>
      </c>
    </row>
    <row r="427" spans="1:7" ht="15">
      <c r="A427" s="20" t="s">
        <v>553</v>
      </c>
      <c r="B427" s="201"/>
      <c r="C427" s="201"/>
      <c r="D427" s="201"/>
      <c r="E427" s="201"/>
      <c r="F427" s="184">
        <f>'BIEU 02-Bang CDSPS (R)'!N186</f>
        <v>0</v>
      </c>
      <c r="G427" s="276">
        <f>'BIEU 02-Bang CDSPS (R)'!F186</f>
        <v>0</v>
      </c>
    </row>
    <row r="428" spans="1:7" ht="17.25" hidden="1">
      <c r="A428" s="20" t="s">
        <v>193</v>
      </c>
      <c r="B428" s="201"/>
      <c r="C428" s="201"/>
      <c r="D428" s="201"/>
      <c r="E428" s="201"/>
      <c r="F428" s="184">
        <v>0</v>
      </c>
      <c r="G428" s="202">
        <v>0</v>
      </c>
    </row>
    <row r="429" spans="1:7" ht="15">
      <c r="A429" s="20" t="s">
        <v>989</v>
      </c>
      <c r="B429" s="201"/>
      <c r="C429" s="201"/>
      <c r="D429" s="201"/>
      <c r="E429" s="201"/>
      <c r="F429" s="184">
        <f>'BIEU 02-Bang CDSPS (R)'!N187+'BIEU 02-Bang CDSPS (R)'!N188</f>
        <v>18000000</v>
      </c>
      <c r="G429" s="202">
        <f>'BIEU 02-Bang CDSPS (R)'!F187+'BIEU 02-Bang CDSPS (R)'!F188</f>
        <v>18000000</v>
      </c>
    </row>
    <row r="430" spans="1:7" ht="17.25" hidden="1">
      <c r="A430" s="20" t="s">
        <v>990</v>
      </c>
      <c r="B430" s="201"/>
      <c r="C430" s="201"/>
      <c r="D430" s="201"/>
      <c r="E430" s="201"/>
      <c r="F430" s="184">
        <f>'BIEU 02-Bang CDSPS (R)'!N197</f>
        <v>0</v>
      </c>
      <c r="G430" s="202">
        <f>'BIEU 02-Bang CDSPS (R)'!F197</f>
        <v>0</v>
      </c>
    </row>
    <row r="431" spans="1:7" ht="15">
      <c r="A431" s="20" t="s">
        <v>815</v>
      </c>
      <c r="B431" s="201"/>
      <c r="C431" s="201"/>
      <c r="D431" s="201"/>
      <c r="E431" s="201"/>
      <c r="F431" s="184">
        <f>'B 01-DN CD KETOAN (R)'!D80-F421-F422-F423-F424-F425-F426-F427-F428-F429</f>
        <v>679233350</v>
      </c>
      <c r="G431" s="202">
        <f>'B 01-DN CD KETOAN (R)'!E80-G421-G422-G423-G424-G425-G426-G427-G428-G429</f>
        <v>929468858</v>
      </c>
    </row>
    <row r="432" spans="1:7" ht="15.75">
      <c r="A432" s="203" t="s">
        <v>695</v>
      </c>
      <c r="B432" s="201"/>
      <c r="C432" s="201"/>
      <c r="D432" s="201"/>
      <c r="E432" s="369">
        <f>F432-'B 01-DN CD KETOAN (R)'!D80</f>
        <v>0</v>
      </c>
      <c r="F432" s="361">
        <f>SUM(F421:F431)</f>
        <v>9372086554</v>
      </c>
      <c r="G432" s="204">
        <f>SUM(G421:G431)</f>
        <v>11407812399</v>
      </c>
    </row>
    <row r="433" spans="1:7" ht="17.25" hidden="1">
      <c r="A433" s="20"/>
      <c r="B433" s="201"/>
      <c r="C433" s="201"/>
      <c r="D433" s="201"/>
      <c r="E433" s="201"/>
      <c r="F433" s="8"/>
      <c r="G433" s="43"/>
    </row>
    <row r="434" spans="1:7" ht="18" hidden="1">
      <c r="A434" s="27" t="s">
        <v>816</v>
      </c>
      <c r="B434" s="201"/>
      <c r="C434" s="201"/>
      <c r="D434" s="201"/>
      <c r="E434" s="201"/>
      <c r="F434" s="227" t="s">
        <v>869</v>
      </c>
      <c r="G434" s="227" t="s">
        <v>312</v>
      </c>
    </row>
    <row r="435" spans="1:7" ht="17.25" hidden="1">
      <c r="A435" s="20" t="s">
        <v>817</v>
      </c>
      <c r="B435" s="201"/>
      <c r="C435" s="201"/>
      <c r="D435" s="201"/>
      <c r="E435" s="201"/>
      <c r="F435" s="70"/>
      <c r="G435" s="202"/>
    </row>
    <row r="436" spans="1:7" ht="17.25" hidden="1">
      <c r="A436" s="20" t="s">
        <v>991</v>
      </c>
      <c r="B436" s="201"/>
      <c r="C436" s="201"/>
      <c r="D436" s="201"/>
      <c r="E436" s="201"/>
      <c r="F436" s="70"/>
      <c r="G436" s="202"/>
    </row>
    <row r="437" spans="1:7" ht="17.25" hidden="1">
      <c r="A437" s="20" t="s">
        <v>818</v>
      </c>
      <c r="B437" s="201"/>
      <c r="C437" s="201"/>
      <c r="D437" s="201"/>
      <c r="E437" s="201"/>
      <c r="F437" s="70"/>
      <c r="G437" s="202"/>
    </row>
    <row r="438" spans="1:7" ht="18" hidden="1">
      <c r="A438" s="203" t="s">
        <v>695</v>
      </c>
      <c r="B438" s="201"/>
      <c r="C438" s="201"/>
      <c r="D438" s="201"/>
      <c r="E438" s="201"/>
      <c r="F438" s="71">
        <f>SUM(F435:F437)</f>
        <v>0</v>
      </c>
      <c r="G438" s="204">
        <f>SUM(G435:G437)</f>
        <v>0</v>
      </c>
    </row>
    <row r="439" spans="1:7" ht="15">
      <c r="A439" s="20"/>
      <c r="B439" s="201"/>
      <c r="C439" s="201"/>
      <c r="D439" s="201"/>
      <c r="E439" s="201"/>
      <c r="F439" s="70"/>
      <c r="G439" s="202"/>
    </row>
    <row r="440" spans="1:7" ht="15.75">
      <c r="A440" s="27" t="s">
        <v>992</v>
      </c>
      <c r="B440" s="201"/>
      <c r="C440" s="201"/>
      <c r="D440" s="201"/>
      <c r="E440" s="201"/>
      <c r="F440" s="227" t="s">
        <v>67</v>
      </c>
      <c r="G440" s="227" t="s">
        <v>869</v>
      </c>
    </row>
    <row r="441" spans="1:7" ht="15">
      <c r="A441" s="20" t="s">
        <v>993</v>
      </c>
      <c r="B441" s="201"/>
      <c r="C441" s="201"/>
      <c r="D441" s="201"/>
      <c r="E441" s="201"/>
      <c r="F441" s="184">
        <f>SUM(F442:F444)</f>
        <v>34758155155</v>
      </c>
      <c r="G441" s="202">
        <f>SUM(G442:G444)</f>
        <v>26888450436</v>
      </c>
    </row>
    <row r="442" spans="1:7" s="86" customFormat="1" ht="15">
      <c r="A442" s="218" t="s">
        <v>819</v>
      </c>
      <c r="B442" s="213"/>
      <c r="C442" s="213"/>
      <c r="D442" s="213"/>
      <c r="E442" s="213"/>
      <c r="F442" s="273">
        <f>'BIEU 02-Bang CDSPS (R)'!N191</f>
        <v>34758155155</v>
      </c>
      <c r="G442" s="215">
        <f>'BIEU 02-Bang CDSPS (R)'!F191</f>
        <v>26888450436</v>
      </c>
    </row>
    <row r="443" spans="1:7" s="86" customFormat="1" ht="16.5" hidden="1">
      <c r="A443" s="218" t="s">
        <v>820</v>
      </c>
      <c r="B443" s="213"/>
      <c r="C443" s="213"/>
      <c r="D443" s="213"/>
      <c r="E443" s="213"/>
      <c r="F443" s="273"/>
      <c r="G443" s="215"/>
    </row>
    <row r="444" spans="1:7" s="86" customFormat="1" ht="16.5" hidden="1">
      <c r="A444" s="218" t="s">
        <v>1033</v>
      </c>
      <c r="B444" s="213"/>
      <c r="C444" s="213"/>
      <c r="D444" s="213"/>
      <c r="E444" s="213"/>
      <c r="F444" s="273"/>
      <c r="G444" s="215"/>
    </row>
    <row r="445" spans="1:7" ht="15">
      <c r="A445" s="20" t="s">
        <v>994</v>
      </c>
      <c r="B445" s="201"/>
      <c r="C445" s="201"/>
      <c r="D445" s="201"/>
      <c r="E445" s="201"/>
      <c r="F445" s="184">
        <f>SUM(F446:F447)</f>
        <v>0</v>
      </c>
      <c r="G445" s="202">
        <f>SUM(G446:G447)</f>
        <v>0</v>
      </c>
    </row>
    <row r="446" spans="1:7" s="86" customFormat="1" ht="16.5" hidden="1">
      <c r="A446" s="218" t="s">
        <v>821</v>
      </c>
      <c r="B446" s="213"/>
      <c r="C446" s="213"/>
      <c r="D446" s="213"/>
      <c r="E446" s="213"/>
      <c r="F446" s="273"/>
      <c r="G446" s="215"/>
    </row>
    <row r="447" spans="1:7" s="86" customFormat="1" ht="16.5" hidden="1">
      <c r="A447" s="218" t="s">
        <v>822</v>
      </c>
      <c r="B447" s="213"/>
      <c r="C447" s="213"/>
      <c r="D447" s="213"/>
      <c r="E447" s="213"/>
      <c r="F447" s="273"/>
      <c r="G447" s="215"/>
    </row>
    <row r="448" spans="1:7" ht="15.75">
      <c r="A448" s="207" t="s">
        <v>695</v>
      </c>
      <c r="B448" s="208"/>
      <c r="C448" s="208"/>
      <c r="D448" s="208"/>
      <c r="E448" s="370">
        <f>F448-'B 01-DN CD KETOAN (R)'!D86</f>
        <v>0</v>
      </c>
      <c r="F448" s="363">
        <f>F441+F445</f>
        <v>34758155155</v>
      </c>
      <c r="G448" s="209">
        <f>G441+G445</f>
        <v>26888450436</v>
      </c>
    </row>
    <row r="449" ht="17.25" hidden="1"/>
    <row r="450" ht="17.25" hidden="1">
      <c r="A450" s="12" t="s">
        <v>995</v>
      </c>
    </row>
    <row r="451" spans="1:7" ht="17.25" hidden="1">
      <c r="A451" s="411" t="s">
        <v>1004</v>
      </c>
      <c r="B451" s="413" t="s">
        <v>691</v>
      </c>
      <c r="C451" s="414"/>
      <c r="D451" s="415"/>
      <c r="E451" s="413" t="s">
        <v>692</v>
      </c>
      <c r="F451" s="414"/>
      <c r="G451" s="415"/>
    </row>
    <row r="452" spans="1:7" ht="17.25" hidden="1">
      <c r="A452" s="416"/>
      <c r="B452" s="165" t="s">
        <v>996</v>
      </c>
      <c r="C452" s="165" t="s">
        <v>999</v>
      </c>
      <c r="D452" s="165" t="s">
        <v>999</v>
      </c>
      <c r="E452" s="165" t="s">
        <v>996</v>
      </c>
      <c r="F452" s="165" t="s">
        <v>999</v>
      </c>
      <c r="G452" s="165" t="s">
        <v>999</v>
      </c>
    </row>
    <row r="453" spans="1:7" ht="17.25" hidden="1">
      <c r="A453" s="416"/>
      <c r="B453" s="171" t="s">
        <v>997</v>
      </c>
      <c r="C453" s="171" t="s">
        <v>1000</v>
      </c>
      <c r="D453" s="171" t="s">
        <v>1002</v>
      </c>
      <c r="E453" s="171" t="s">
        <v>997</v>
      </c>
      <c r="F453" s="171" t="s">
        <v>1000</v>
      </c>
      <c r="G453" s="171" t="s">
        <v>1002</v>
      </c>
    </row>
    <row r="454" spans="1:7" ht="17.25" hidden="1">
      <c r="A454" s="381"/>
      <c r="B454" s="166" t="s">
        <v>998</v>
      </c>
      <c r="C454" s="166" t="s">
        <v>1001</v>
      </c>
      <c r="D454" s="166" t="s">
        <v>1003</v>
      </c>
      <c r="E454" s="166" t="s">
        <v>998</v>
      </c>
      <c r="F454" s="166" t="s">
        <v>1001</v>
      </c>
      <c r="G454" s="166" t="s">
        <v>1003</v>
      </c>
    </row>
    <row r="455" spans="1:7" ht="17.25" hidden="1">
      <c r="A455" s="25" t="s">
        <v>1005</v>
      </c>
      <c r="B455" s="23"/>
      <c r="C455" s="23"/>
      <c r="D455" s="23"/>
      <c r="E455" s="23"/>
      <c r="F455" s="23"/>
      <c r="G455" s="23"/>
    </row>
    <row r="456" spans="1:7" ht="17.25" hidden="1">
      <c r="A456" s="15" t="s">
        <v>1006</v>
      </c>
      <c r="B456" s="8"/>
      <c r="C456" s="8"/>
      <c r="D456" s="8"/>
      <c r="E456" s="8"/>
      <c r="F456" s="8"/>
      <c r="G456" s="8"/>
    </row>
    <row r="457" spans="1:7" ht="17.25" hidden="1">
      <c r="A457" s="15" t="s">
        <v>1007</v>
      </c>
      <c r="B457" s="8"/>
      <c r="C457" s="8"/>
      <c r="D457" s="8"/>
      <c r="E457" s="8"/>
      <c r="F457" s="8"/>
      <c r="G457" s="8"/>
    </row>
    <row r="458" spans="1:7" ht="17.25" hidden="1">
      <c r="A458" s="16"/>
      <c r="B458" s="17"/>
      <c r="C458" s="17"/>
      <c r="D458" s="17"/>
      <c r="E458" s="17"/>
      <c r="F458" s="17"/>
      <c r="G458" s="17"/>
    </row>
    <row r="459" ht="17.25" hidden="1"/>
    <row r="460" spans="1:7" ht="15.75">
      <c r="A460" s="6" t="s">
        <v>165</v>
      </c>
      <c r="F460" s="151"/>
      <c r="G460" s="151"/>
    </row>
    <row r="461" spans="1:7" ht="18" hidden="1">
      <c r="A461" s="12" t="s">
        <v>1008</v>
      </c>
      <c r="F461" s="151" t="s">
        <v>588</v>
      </c>
      <c r="G461" s="151" t="s">
        <v>589</v>
      </c>
    </row>
    <row r="462" ht="17.25" hidden="1">
      <c r="A462" s="12" t="s">
        <v>1009</v>
      </c>
    </row>
    <row r="463" ht="17.25" hidden="1">
      <c r="A463" s="12" t="s">
        <v>1119</v>
      </c>
    </row>
    <row r="464" ht="17.25" hidden="1">
      <c r="A464" s="12" t="s">
        <v>1010</v>
      </c>
    </row>
    <row r="465" ht="17.25" hidden="1">
      <c r="A465" s="12" t="s">
        <v>476</v>
      </c>
    </row>
    <row r="466" ht="17.25" hidden="1"/>
    <row r="467" spans="1:7" ht="18" hidden="1">
      <c r="A467" s="12" t="s">
        <v>161</v>
      </c>
      <c r="F467" s="151" t="s">
        <v>588</v>
      </c>
      <c r="G467" s="151" t="s">
        <v>589</v>
      </c>
    </row>
    <row r="468" ht="17.25" hidden="1">
      <c r="A468" s="12" t="s">
        <v>162</v>
      </c>
    </row>
    <row r="469" ht="17.25" hidden="1">
      <c r="A469" s="12" t="s">
        <v>163</v>
      </c>
    </row>
    <row r="470" ht="17.25" hidden="1">
      <c r="A470" s="12" t="s">
        <v>164</v>
      </c>
    </row>
    <row r="471" ht="17.25" hidden="1"/>
    <row r="472" ht="15"/>
    <row r="473" ht="15"/>
    <row r="474" ht="15.75">
      <c r="A474" s="6" t="s">
        <v>166</v>
      </c>
    </row>
    <row r="475" ht="15">
      <c r="A475" s="12" t="s">
        <v>167</v>
      </c>
    </row>
    <row r="476" spans="1:7" ht="21" customHeight="1">
      <c r="A476" s="172"/>
      <c r="B476" s="165" t="s">
        <v>168</v>
      </c>
      <c r="C476" s="165" t="s">
        <v>1069</v>
      </c>
      <c r="D476" s="165" t="s">
        <v>1071</v>
      </c>
      <c r="E476" s="165" t="s">
        <v>1143</v>
      </c>
      <c r="F476" s="165" t="s">
        <v>1145</v>
      </c>
      <c r="G476" s="165" t="s">
        <v>1147</v>
      </c>
    </row>
    <row r="477" spans="1:7" ht="21" customHeight="1">
      <c r="A477" s="127"/>
      <c r="B477" s="166" t="s">
        <v>169</v>
      </c>
      <c r="C477" s="166" t="s">
        <v>1070</v>
      </c>
      <c r="D477" s="166" t="s">
        <v>1076</v>
      </c>
      <c r="E477" s="166" t="s">
        <v>1144</v>
      </c>
      <c r="F477" s="166" t="s">
        <v>1146</v>
      </c>
      <c r="G477" s="166" t="s">
        <v>1148</v>
      </c>
    </row>
    <row r="478" spans="1:7" ht="21" customHeight="1">
      <c r="A478" s="3" t="s">
        <v>823</v>
      </c>
      <c r="B478" s="365">
        <v>300000000000</v>
      </c>
      <c r="C478" s="365">
        <v>0</v>
      </c>
      <c r="D478" s="365">
        <v>0</v>
      </c>
      <c r="E478" s="365">
        <v>0</v>
      </c>
      <c r="F478" s="365">
        <v>0</v>
      </c>
      <c r="G478" s="365">
        <v>160933236113</v>
      </c>
    </row>
    <row r="479" spans="1:7" ht="21" customHeight="1">
      <c r="A479" s="15" t="s">
        <v>824</v>
      </c>
      <c r="B479" s="184">
        <v>0</v>
      </c>
      <c r="C479" s="184">
        <v>0</v>
      </c>
      <c r="D479" s="184">
        <v>0</v>
      </c>
      <c r="E479" s="184">
        <v>0</v>
      </c>
      <c r="F479" s="184">
        <v>0</v>
      </c>
      <c r="G479" s="184">
        <v>0</v>
      </c>
    </row>
    <row r="480" spans="1:7" ht="21" customHeight="1">
      <c r="A480" s="15" t="s">
        <v>1072</v>
      </c>
      <c r="B480" s="184">
        <v>0</v>
      </c>
      <c r="C480" s="184">
        <v>0</v>
      </c>
      <c r="D480" s="184">
        <v>0</v>
      </c>
      <c r="E480" s="184">
        <v>29697021153</v>
      </c>
      <c r="F480" s="184">
        <v>8420669078</v>
      </c>
      <c r="G480" s="184">
        <v>198219884574</v>
      </c>
    </row>
    <row r="481" spans="1:7" ht="21" customHeight="1">
      <c r="A481" s="15" t="s">
        <v>677</v>
      </c>
      <c r="B481" s="184">
        <v>0</v>
      </c>
      <c r="C481" s="184">
        <v>0</v>
      </c>
      <c r="D481" s="184">
        <v>0</v>
      </c>
      <c r="E481" s="184">
        <v>63750564012</v>
      </c>
      <c r="F481" s="184">
        <v>7491234509</v>
      </c>
      <c r="G481" s="184">
        <v>0</v>
      </c>
    </row>
    <row r="482" spans="1:7" ht="21" customHeight="1">
      <c r="A482" s="15" t="s">
        <v>170</v>
      </c>
      <c r="B482" s="184">
        <v>0</v>
      </c>
      <c r="C482" s="184">
        <v>0</v>
      </c>
      <c r="D482" s="184">
        <v>0</v>
      </c>
      <c r="E482" s="184">
        <v>0</v>
      </c>
      <c r="F482" s="184">
        <v>0</v>
      </c>
      <c r="G482" s="184">
        <v>289671370927</v>
      </c>
    </row>
    <row r="483" spans="1:7" ht="21" customHeight="1" hidden="1">
      <c r="A483" s="15" t="s">
        <v>1073</v>
      </c>
      <c r="B483" s="184"/>
      <c r="C483" s="184"/>
      <c r="D483" s="184"/>
      <c r="E483" s="184"/>
      <c r="F483" s="184"/>
      <c r="G483" s="184"/>
    </row>
    <row r="484" spans="1:7" ht="21" customHeight="1" hidden="1">
      <c r="A484" s="15" t="s">
        <v>444</v>
      </c>
      <c r="B484" s="184"/>
      <c r="C484" s="184"/>
      <c r="D484" s="184"/>
      <c r="E484" s="184"/>
      <c r="F484" s="184"/>
      <c r="G484" s="184"/>
    </row>
    <row r="485" spans="1:7" ht="21" customHeight="1">
      <c r="A485" s="2" t="s">
        <v>1034</v>
      </c>
      <c r="B485" s="184">
        <f aca="true" t="shared" si="7" ref="B485:G485">B478+B479+B480+B481-B482-B483-B484</f>
        <v>300000000000</v>
      </c>
      <c r="C485" s="184">
        <f t="shared" si="7"/>
        <v>0</v>
      </c>
      <c r="D485" s="184">
        <f t="shared" si="7"/>
        <v>0</v>
      </c>
      <c r="E485" s="184">
        <f t="shared" si="7"/>
        <v>93447585165</v>
      </c>
      <c r="F485" s="184">
        <f t="shared" si="7"/>
        <v>15911903587</v>
      </c>
      <c r="G485" s="184">
        <f t="shared" si="7"/>
        <v>69481749760</v>
      </c>
    </row>
    <row r="486" spans="1:7" ht="21" customHeight="1" hidden="1">
      <c r="A486" s="2"/>
      <c r="B486" s="184"/>
      <c r="C486" s="184"/>
      <c r="D486" s="184"/>
      <c r="E486" s="184"/>
      <c r="F486" s="184"/>
      <c r="G486" s="184"/>
    </row>
    <row r="487" spans="1:7" ht="21" customHeight="1">
      <c r="A487" s="2" t="s">
        <v>1035</v>
      </c>
      <c r="B487" s="184">
        <f aca="true" t="shared" si="8" ref="B487:G487">B485</f>
        <v>300000000000</v>
      </c>
      <c r="C487" s="184">
        <f t="shared" si="8"/>
        <v>0</v>
      </c>
      <c r="D487" s="184">
        <f t="shared" si="8"/>
        <v>0</v>
      </c>
      <c r="E487" s="184">
        <f t="shared" si="8"/>
        <v>93447585165</v>
      </c>
      <c r="F487" s="184">
        <f t="shared" si="8"/>
        <v>15911903587</v>
      </c>
      <c r="G487" s="184">
        <f t="shared" si="8"/>
        <v>69481749760</v>
      </c>
    </row>
    <row r="488" spans="1:7" ht="21" customHeight="1">
      <c r="A488" s="15" t="s">
        <v>943</v>
      </c>
      <c r="B488" s="184">
        <v>0</v>
      </c>
      <c r="C488" s="184">
        <v>0</v>
      </c>
      <c r="D488" s="184">
        <v>0</v>
      </c>
      <c r="E488" s="184">
        <v>0</v>
      </c>
      <c r="F488" s="184">
        <f>'BIEU 02-Bang CDSPS (R)'!J233</f>
        <v>0</v>
      </c>
      <c r="G488" s="184">
        <f>'BIEU 02-Bang CDSPS (R)'!K233</f>
        <v>0</v>
      </c>
    </row>
    <row r="489" spans="1:7" ht="21" customHeight="1">
      <c r="A489" s="15" t="s">
        <v>1074</v>
      </c>
      <c r="B489" s="184">
        <v>0</v>
      </c>
      <c r="C489" s="184">
        <f>'BIEU 02-Bang CDSPS (R)'!K226</f>
        <v>0</v>
      </c>
      <c r="D489" s="184">
        <v>0</v>
      </c>
      <c r="E489" s="184">
        <v>0</v>
      </c>
      <c r="F489" s="184">
        <v>0</v>
      </c>
      <c r="G489" s="184">
        <f>'BIEU 02-Bang CDSPS (R)'!J226</f>
        <v>158426172258</v>
      </c>
    </row>
    <row r="490" spans="1:7" ht="21" customHeight="1">
      <c r="A490" s="15" t="s">
        <v>677</v>
      </c>
      <c r="B490" s="184">
        <v>0</v>
      </c>
      <c r="C490" s="184">
        <v>0</v>
      </c>
      <c r="D490" s="184">
        <v>0</v>
      </c>
      <c r="E490" s="184">
        <v>53151374331</v>
      </c>
      <c r="F490" s="184">
        <v>0</v>
      </c>
      <c r="G490" s="184">
        <v>0</v>
      </c>
    </row>
    <row r="491" spans="1:7" ht="21" customHeight="1">
      <c r="A491" s="15" t="s">
        <v>944</v>
      </c>
      <c r="B491" s="184">
        <v>0</v>
      </c>
      <c r="C491" s="184">
        <f>'BIEU 02-Bang CDSPS (R)'!H218</f>
        <v>0</v>
      </c>
      <c r="D491" s="184">
        <f>'BIEU 02-Bang CDSPS (R)'!H220</f>
        <v>0</v>
      </c>
      <c r="E491" s="184">
        <v>0</v>
      </c>
      <c r="F491" s="184">
        <f>'BIEU 02-Bang CDSPS (R)'!H233</f>
        <v>0</v>
      </c>
      <c r="G491" s="184">
        <f>69481749760-1330375429</f>
        <v>68151374331</v>
      </c>
    </row>
    <row r="492" spans="1:7" ht="21" customHeight="1" hidden="1">
      <c r="A492" s="15" t="s">
        <v>1075</v>
      </c>
      <c r="B492" s="184"/>
      <c r="C492" s="184"/>
      <c r="D492" s="184"/>
      <c r="E492" s="184"/>
      <c r="F492" s="184"/>
      <c r="G492" s="184"/>
    </row>
    <row r="493" spans="1:7" ht="21" customHeight="1" hidden="1">
      <c r="A493" s="15" t="s">
        <v>444</v>
      </c>
      <c r="B493" s="184"/>
      <c r="C493" s="184"/>
      <c r="D493" s="184"/>
      <c r="E493" s="184"/>
      <c r="F493" s="184"/>
      <c r="G493" s="184"/>
    </row>
    <row r="494" spans="1:7" ht="21" customHeight="1">
      <c r="A494" s="2" t="s">
        <v>825</v>
      </c>
      <c r="B494" s="184">
        <f aca="true" t="shared" si="9" ref="B494:G494">B487+B488+B489+B490-B491-B492-B493</f>
        <v>300000000000</v>
      </c>
      <c r="C494" s="184">
        <f t="shared" si="9"/>
        <v>0</v>
      </c>
      <c r="D494" s="184">
        <f t="shared" si="9"/>
        <v>0</v>
      </c>
      <c r="E494" s="184">
        <f t="shared" si="9"/>
        <v>146598959496</v>
      </c>
      <c r="F494" s="184">
        <f t="shared" si="9"/>
        <v>15911903587</v>
      </c>
      <c r="G494" s="184">
        <f t="shared" si="9"/>
        <v>159756547687</v>
      </c>
    </row>
    <row r="495" spans="1:7" ht="21" customHeight="1">
      <c r="A495" s="16"/>
      <c r="B495" s="17"/>
      <c r="C495" s="17"/>
      <c r="D495" s="17"/>
      <c r="E495" s="17"/>
      <c r="F495" s="17"/>
      <c r="G495" s="371">
        <f>G494-'B 01-DN CD KETOAN (R)'!D102</f>
        <v>0</v>
      </c>
    </row>
    <row r="496" spans="1:7" ht="21" customHeight="1">
      <c r="A496" s="366"/>
      <c r="B496" s="367"/>
      <c r="C496" s="367"/>
      <c r="D496" s="367"/>
      <c r="E496" s="367"/>
      <c r="F496" s="367"/>
      <c r="G496" s="367"/>
    </row>
    <row r="497" spans="1:7" ht="15.75">
      <c r="A497" s="37" t="s">
        <v>194</v>
      </c>
      <c r="B497" s="199"/>
      <c r="C497" s="199"/>
      <c r="D497" s="199"/>
      <c r="E497" s="199"/>
      <c r="F497" s="252" t="s">
        <v>67</v>
      </c>
      <c r="G497" s="252" t="s">
        <v>869</v>
      </c>
    </row>
    <row r="498" spans="1:7" ht="15">
      <c r="A498" s="20" t="s">
        <v>195</v>
      </c>
      <c r="B498" s="201"/>
      <c r="C498" s="201"/>
      <c r="D498" s="201"/>
      <c r="E498" s="201"/>
      <c r="F498" s="184">
        <v>180000000000</v>
      </c>
      <c r="G498" s="202">
        <v>180000000000</v>
      </c>
    </row>
    <row r="499" spans="1:7" ht="15">
      <c r="A499" s="20" t="s">
        <v>196</v>
      </c>
      <c r="B499" s="201"/>
      <c r="C499" s="201"/>
      <c r="D499" s="201"/>
      <c r="E499" s="201"/>
      <c r="F499" s="184">
        <v>120000000000</v>
      </c>
      <c r="G499" s="202">
        <v>120000000000</v>
      </c>
    </row>
    <row r="500" spans="1:7" ht="15.75">
      <c r="A500" s="203" t="s">
        <v>695</v>
      </c>
      <c r="B500" s="201"/>
      <c r="C500" s="201"/>
      <c r="D500" s="201"/>
      <c r="E500" s="201"/>
      <c r="F500" s="361">
        <f>SUM(F498:F499)</f>
        <v>300000000000</v>
      </c>
      <c r="G500" s="204">
        <f>SUM(G498:G499)</f>
        <v>300000000000</v>
      </c>
    </row>
    <row r="501" spans="1:7" ht="15">
      <c r="A501" s="29"/>
      <c r="B501" s="208"/>
      <c r="C501" s="208"/>
      <c r="D501" s="208"/>
      <c r="E501" s="208"/>
      <c r="F501" s="17"/>
      <c r="G501" s="225"/>
    </row>
    <row r="502" ht="17.25" hidden="1">
      <c r="A502" s="12" t="s">
        <v>826</v>
      </c>
    </row>
    <row r="503" ht="17.25" hidden="1">
      <c r="A503" s="12" t="s">
        <v>197</v>
      </c>
    </row>
    <row r="504" ht="15"/>
    <row r="505" spans="1:7" ht="15.75">
      <c r="A505" s="37" t="s">
        <v>172</v>
      </c>
      <c r="B505" s="199"/>
      <c r="C505" s="199"/>
      <c r="D505" s="199"/>
      <c r="E505" s="199"/>
      <c r="F505" s="210" t="s">
        <v>691</v>
      </c>
      <c r="G505" s="200" t="s">
        <v>692</v>
      </c>
    </row>
    <row r="506" spans="1:7" ht="15">
      <c r="A506" s="20" t="s">
        <v>827</v>
      </c>
      <c r="B506" s="201"/>
      <c r="C506" s="201"/>
      <c r="D506" s="201"/>
      <c r="E506" s="201"/>
      <c r="F506" s="70"/>
      <c r="G506" s="202"/>
    </row>
    <row r="507" spans="1:7" ht="15">
      <c r="A507" s="20" t="s">
        <v>828</v>
      </c>
      <c r="B507" s="201"/>
      <c r="C507" s="201"/>
      <c r="D507" s="201"/>
      <c r="E507" s="201"/>
      <c r="F507" s="184">
        <v>300000000000</v>
      </c>
      <c r="G507" s="70">
        <v>300000000000</v>
      </c>
    </row>
    <row r="508" spans="1:7" ht="17.25" hidden="1">
      <c r="A508" s="20" t="s">
        <v>829</v>
      </c>
      <c r="B508" s="201"/>
      <c r="C508" s="201"/>
      <c r="D508" s="201"/>
      <c r="E508" s="201"/>
      <c r="F508" s="184"/>
      <c r="G508" s="202"/>
    </row>
    <row r="509" spans="1:7" ht="17.25" hidden="1">
      <c r="A509" s="20" t="s">
        <v>830</v>
      </c>
      <c r="B509" s="201"/>
      <c r="C509" s="201"/>
      <c r="D509" s="201"/>
      <c r="E509" s="201"/>
      <c r="F509" s="184"/>
      <c r="G509" s="202"/>
    </row>
    <row r="510" spans="1:7" ht="15">
      <c r="A510" s="20" t="s">
        <v>831</v>
      </c>
      <c r="B510" s="201"/>
      <c r="C510" s="201"/>
      <c r="D510" s="201"/>
      <c r="E510" s="201"/>
      <c r="F510" s="184">
        <f>F507+F508-F509</f>
        <v>300000000000</v>
      </c>
      <c r="G510" s="70">
        <f>G507+G508-G509</f>
        <v>300000000000</v>
      </c>
    </row>
    <row r="511" spans="1:7" ht="17.25" hidden="1">
      <c r="A511" s="20" t="s">
        <v>832</v>
      </c>
      <c r="B511" s="201"/>
      <c r="C511" s="201"/>
      <c r="D511" s="201"/>
      <c r="E511" s="201"/>
      <c r="F511" s="8"/>
      <c r="G511" s="43"/>
    </row>
    <row r="512" spans="1:7" ht="17.25" hidden="1">
      <c r="A512" s="20"/>
      <c r="B512" s="201"/>
      <c r="C512" s="201"/>
      <c r="D512" s="201"/>
      <c r="E512" s="201"/>
      <c r="F512" s="8"/>
      <c r="G512" s="43"/>
    </row>
    <row r="513" spans="1:7" ht="17.25" hidden="1">
      <c r="A513" s="20" t="s">
        <v>173</v>
      </c>
      <c r="B513" s="201"/>
      <c r="C513" s="201"/>
      <c r="D513" s="201"/>
      <c r="E513" s="201"/>
      <c r="F513" s="8"/>
      <c r="G513" s="43"/>
    </row>
    <row r="514" spans="1:7" ht="17.25" hidden="1">
      <c r="A514" s="20" t="s">
        <v>174</v>
      </c>
      <c r="B514" s="201"/>
      <c r="C514" s="201"/>
      <c r="D514" s="201"/>
      <c r="E514" s="201"/>
      <c r="F514" s="8"/>
      <c r="G514" s="43"/>
    </row>
    <row r="515" spans="1:7" ht="17.25" hidden="1">
      <c r="A515" s="20" t="s">
        <v>175</v>
      </c>
      <c r="B515" s="201"/>
      <c r="C515" s="201"/>
      <c r="D515" s="201"/>
      <c r="E515" s="201"/>
      <c r="F515" s="8"/>
      <c r="G515" s="43"/>
    </row>
    <row r="516" spans="1:7" ht="17.25" hidden="1">
      <c r="A516" s="20" t="s">
        <v>791</v>
      </c>
      <c r="B516" s="201"/>
      <c r="C516" s="201"/>
      <c r="D516" s="201"/>
      <c r="E516" s="201"/>
      <c r="F516" s="8"/>
      <c r="G516" s="43"/>
    </row>
    <row r="517" spans="1:7" ht="17.25" hidden="1">
      <c r="A517" s="20" t="s">
        <v>792</v>
      </c>
      <c r="B517" s="201"/>
      <c r="C517" s="201"/>
      <c r="D517" s="201"/>
      <c r="E517" s="201"/>
      <c r="F517" s="8"/>
      <c r="G517" s="43"/>
    </row>
    <row r="518" spans="1:7" ht="18" hidden="1">
      <c r="A518" s="20" t="s">
        <v>176</v>
      </c>
      <c r="B518" s="201"/>
      <c r="C518" s="201"/>
      <c r="D518" s="201"/>
      <c r="E518" s="201"/>
      <c r="F518" s="227" t="s">
        <v>859</v>
      </c>
      <c r="G518" s="226" t="s">
        <v>861</v>
      </c>
    </row>
    <row r="519" spans="1:7" ht="17.25" hidden="1">
      <c r="A519" s="20" t="s">
        <v>793</v>
      </c>
      <c r="B519" s="201"/>
      <c r="C519" s="201"/>
      <c r="D519" s="201"/>
      <c r="E519" s="201"/>
      <c r="F519" s="8">
        <v>30000000</v>
      </c>
      <c r="G519" s="8">
        <v>30000000</v>
      </c>
    </row>
    <row r="520" spans="1:7" ht="17.25" hidden="1">
      <c r="A520" s="20" t="s">
        <v>177</v>
      </c>
      <c r="B520" s="201"/>
      <c r="C520" s="201"/>
      <c r="D520" s="201"/>
      <c r="E520" s="201"/>
      <c r="F520" s="8">
        <f>SUM(F521:F522)</f>
        <v>30000000</v>
      </c>
      <c r="G520" s="8">
        <f>SUM(G521:G522)</f>
        <v>30000000</v>
      </c>
    </row>
    <row r="521" spans="1:7" s="86" customFormat="1" ht="16.5" hidden="1">
      <c r="A521" s="218" t="s">
        <v>178</v>
      </c>
      <c r="B521" s="213"/>
      <c r="C521" s="213"/>
      <c r="D521" s="213"/>
      <c r="E521" s="213"/>
      <c r="F521" s="9">
        <v>30000000</v>
      </c>
      <c r="G521" s="9">
        <v>30000000</v>
      </c>
    </row>
    <row r="522" spans="1:7" s="86" customFormat="1" ht="16.5" hidden="1">
      <c r="A522" s="218" t="s">
        <v>794</v>
      </c>
      <c r="B522" s="213"/>
      <c r="C522" s="213"/>
      <c r="D522" s="213"/>
      <c r="E522" s="213"/>
      <c r="F522" s="9"/>
      <c r="G522" s="219"/>
    </row>
    <row r="523" spans="1:7" ht="17.25" hidden="1">
      <c r="A523" s="20" t="s">
        <v>795</v>
      </c>
      <c r="B523" s="201"/>
      <c r="C523" s="201"/>
      <c r="D523" s="201"/>
      <c r="E523" s="201"/>
      <c r="F523" s="8"/>
      <c r="G523" s="43"/>
    </row>
    <row r="524" spans="1:7" s="86" customFormat="1" ht="16.5" hidden="1">
      <c r="A524" s="218" t="s">
        <v>178</v>
      </c>
      <c r="B524" s="213"/>
      <c r="C524" s="213"/>
      <c r="D524" s="213"/>
      <c r="E524" s="213"/>
      <c r="F524" s="9"/>
      <c r="G524" s="219"/>
    </row>
    <row r="525" spans="1:7" s="86" customFormat="1" ht="16.5" hidden="1">
      <c r="A525" s="218" t="s">
        <v>794</v>
      </c>
      <c r="B525" s="213"/>
      <c r="C525" s="213"/>
      <c r="D525" s="213"/>
      <c r="E525" s="213"/>
      <c r="F525" s="9"/>
      <c r="G525" s="219"/>
    </row>
    <row r="526" spans="1:7" ht="17.25" hidden="1">
      <c r="A526" s="20" t="s">
        <v>796</v>
      </c>
      <c r="B526" s="201"/>
      <c r="C526" s="201"/>
      <c r="D526" s="201"/>
      <c r="E526" s="201"/>
      <c r="F526" s="8">
        <f>SUM(F527:F528)</f>
        <v>30000000</v>
      </c>
      <c r="G526" s="8">
        <f>SUM(G527:G528)</f>
        <v>30000000</v>
      </c>
    </row>
    <row r="527" spans="1:7" s="86" customFormat="1" ht="16.5" hidden="1">
      <c r="A527" s="218" t="s">
        <v>178</v>
      </c>
      <c r="B527" s="213"/>
      <c r="C527" s="213"/>
      <c r="D527" s="213"/>
      <c r="E527" s="213"/>
      <c r="F527" s="9">
        <f>F521</f>
        <v>30000000</v>
      </c>
      <c r="G527" s="9">
        <f>G521</f>
        <v>30000000</v>
      </c>
    </row>
    <row r="528" spans="1:7" s="86" customFormat="1" ht="16.5" hidden="1">
      <c r="A528" s="218" t="s">
        <v>794</v>
      </c>
      <c r="B528" s="213"/>
      <c r="C528" s="213"/>
      <c r="D528" s="213"/>
      <c r="E528" s="213"/>
      <c r="F528" s="9"/>
      <c r="G528" s="219"/>
    </row>
    <row r="529" spans="1:7" ht="17.25" hidden="1">
      <c r="A529" s="20"/>
      <c r="B529" s="201"/>
      <c r="C529" s="201"/>
      <c r="D529" s="201"/>
      <c r="E529" s="201"/>
      <c r="F529" s="8"/>
      <c r="G529" s="43"/>
    </row>
    <row r="530" spans="1:7" ht="17.25" hidden="1">
      <c r="A530" s="20" t="s">
        <v>179</v>
      </c>
      <c r="B530" s="201"/>
      <c r="C530" s="201"/>
      <c r="D530" s="201"/>
      <c r="E530" s="201"/>
      <c r="F530" s="8"/>
      <c r="G530" s="43"/>
    </row>
    <row r="531" spans="1:7" ht="17.25" hidden="1">
      <c r="A531" s="20"/>
      <c r="B531" s="201"/>
      <c r="C531" s="201"/>
      <c r="D531" s="201"/>
      <c r="E531" s="201"/>
      <c r="F531" s="8"/>
      <c r="G531" s="43"/>
    </row>
    <row r="532" spans="1:7" ht="18" hidden="1">
      <c r="A532" s="20" t="s">
        <v>180</v>
      </c>
      <c r="B532" s="201"/>
      <c r="C532" s="201"/>
      <c r="D532" s="201"/>
      <c r="E532" s="201"/>
      <c r="F532" s="227" t="s">
        <v>869</v>
      </c>
      <c r="G532" s="227" t="s">
        <v>312</v>
      </c>
    </row>
    <row r="533" spans="1:7" ht="17.25" hidden="1">
      <c r="A533" s="20" t="s">
        <v>181</v>
      </c>
      <c r="B533" s="201"/>
      <c r="C533" s="201"/>
      <c r="D533" s="201"/>
      <c r="E533" s="201"/>
      <c r="F533" s="70">
        <f>'BIEU 02-Bang CDSPS (R)'!N218</f>
        <v>146598959496</v>
      </c>
      <c r="G533" s="202">
        <f>'BIEU 02-Bang CDSPS (R)'!F218</f>
        <v>93447585165</v>
      </c>
    </row>
    <row r="534" spans="1:7" ht="17.25" hidden="1">
      <c r="A534" s="20" t="s">
        <v>945</v>
      </c>
      <c r="B534" s="201"/>
      <c r="C534" s="201"/>
      <c r="D534" s="201"/>
      <c r="E534" s="201"/>
      <c r="F534" s="70">
        <f>'BIEU 02-Bang CDSPS (R)'!N220</f>
        <v>15911903587</v>
      </c>
      <c r="G534" s="202">
        <f>'BIEU 02-Bang CDSPS (R)'!F220</f>
        <v>15911903587</v>
      </c>
    </row>
    <row r="535" spans="1:7" ht="17.25" hidden="1">
      <c r="A535" s="20" t="s">
        <v>182</v>
      </c>
      <c r="B535" s="201"/>
      <c r="C535" s="201"/>
      <c r="D535" s="201"/>
      <c r="E535" s="201"/>
      <c r="F535" s="70">
        <f>'BIEU 02-Bang CDSPS (R)'!N222</f>
        <v>0</v>
      </c>
      <c r="G535" s="202">
        <f>'BIEU 02-Bang CDSPS (R)'!F222</f>
        <v>0</v>
      </c>
    </row>
    <row r="536" spans="1:7" ht="17.25" hidden="1">
      <c r="A536" s="20"/>
      <c r="B536" s="201"/>
      <c r="C536" s="201"/>
      <c r="D536" s="201"/>
      <c r="E536" s="201"/>
      <c r="F536" s="70"/>
      <c r="G536" s="43"/>
    </row>
    <row r="537" spans="1:7" ht="18" hidden="1">
      <c r="A537" s="27" t="s">
        <v>183</v>
      </c>
      <c r="B537" s="201"/>
      <c r="C537" s="201"/>
      <c r="D537" s="201"/>
      <c r="E537" s="201"/>
      <c r="F537" s="211" t="s">
        <v>691</v>
      </c>
      <c r="G537" s="205" t="s">
        <v>692</v>
      </c>
    </row>
    <row r="538" spans="1:7" ht="17.25" hidden="1">
      <c r="A538" s="20" t="s">
        <v>798</v>
      </c>
      <c r="B538" s="201"/>
      <c r="C538" s="201"/>
      <c r="D538" s="201"/>
      <c r="E538" s="201"/>
      <c r="F538" s="70">
        <f>'BIEU 02-Bang CDSPS (R)'!J235</f>
        <v>0</v>
      </c>
      <c r="G538" s="202">
        <v>1370999217</v>
      </c>
    </row>
    <row r="539" spans="1:7" ht="17.25" hidden="1">
      <c r="A539" s="20" t="s">
        <v>799</v>
      </c>
      <c r="B539" s="201"/>
      <c r="C539" s="201"/>
      <c r="D539" s="201"/>
      <c r="E539" s="201"/>
      <c r="F539" s="70">
        <f>'BIEU 02-Bang CDSPS (R)'!H235</f>
        <v>0</v>
      </c>
      <c r="G539" s="202">
        <v>1261126338</v>
      </c>
    </row>
    <row r="540" spans="1:7" ht="17.25" hidden="1">
      <c r="A540" s="20" t="s">
        <v>800</v>
      </c>
      <c r="B540" s="201"/>
      <c r="C540" s="201"/>
      <c r="D540" s="201"/>
      <c r="E540" s="201"/>
      <c r="F540" s="70">
        <f>G540+F538-F539</f>
        <v>212277484</v>
      </c>
      <c r="G540" s="202">
        <f>102404605+G538-G539</f>
        <v>212277484</v>
      </c>
    </row>
    <row r="541" spans="1:7" ht="17.25" hidden="1">
      <c r="A541" s="20"/>
      <c r="B541" s="201"/>
      <c r="C541" s="201"/>
      <c r="D541" s="201"/>
      <c r="E541" s="201"/>
      <c r="F541" s="8"/>
      <c r="G541" s="43"/>
    </row>
    <row r="542" spans="1:7" ht="18" hidden="1">
      <c r="A542" s="27" t="s">
        <v>184</v>
      </c>
      <c r="B542" s="201"/>
      <c r="C542" s="201"/>
      <c r="D542" s="201"/>
      <c r="E542" s="201"/>
      <c r="F542" s="227" t="s">
        <v>869</v>
      </c>
      <c r="G542" s="227" t="s">
        <v>312</v>
      </c>
    </row>
    <row r="543" spans="1:7" ht="17.25" hidden="1">
      <c r="A543" s="20" t="s">
        <v>185</v>
      </c>
      <c r="B543" s="201"/>
      <c r="C543" s="201"/>
      <c r="D543" s="201"/>
      <c r="E543" s="201"/>
      <c r="F543" s="70"/>
      <c r="G543" s="202"/>
    </row>
    <row r="544" spans="1:7" ht="17.25" hidden="1">
      <c r="A544" s="20" t="s">
        <v>801</v>
      </c>
      <c r="B544" s="201"/>
      <c r="C544" s="201"/>
      <c r="D544" s="201"/>
      <c r="E544" s="201"/>
      <c r="F544" s="70"/>
      <c r="G544" s="202"/>
    </row>
    <row r="545" spans="1:7" ht="17.25" hidden="1">
      <c r="A545" s="20" t="s">
        <v>802</v>
      </c>
      <c r="B545" s="201"/>
      <c r="C545" s="201"/>
      <c r="D545" s="201"/>
      <c r="E545" s="201"/>
      <c r="F545" s="70"/>
      <c r="G545" s="202"/>
    </row>
    <row r="546" spans="1:7" ht="17.25" hidden="1">
      <c r="A546" s="20" t="s">
        <v>186</v>
      </c>
      <c r="B546" s="201"/>
      <c r="C546" s="201"/>
      <c r="D546" s="201"/>
      <c r="E546" s="201"/>
      <c r="F546" s="70"/>
      <c r="G546" s="202"/>
    </row>
    <row r="547" spans="1:7" ht="17.25" hidden="1">
      <c r="A547" s="20" t="s">
        <v>187</v>
      </c>
      <c r="B547" s="201"/>
      <c r="C547" s="201"/>
      <c r="D547" s="201"/>
      <c r="E547" s="201"/>
      <c r="F547" s="70"/>
      <c r="G547" s="202"/>
    </row>
    <row r="548" spans="1:7" ht="17.25" hidden="1">
      <c r="A548" s="20" t="s">
        <v>188</v>
      </c>
      <c r="B548" s="201"/>
      <c r="C548" s="201"/>
      <c r="D548" s="201"/>
      <c r="E548" s="201"/>
      <c r="F548" s="70"/>
      <c r="G548" s="202"/>
    </row>
    <row r="549" spans="1:7" ht="17.25" hidden="1">
      <c r="A549" s="20" t="s">
        <v>803</v>
      </c>
      <c r="B549" s="201"/>
      <c r="C549" s="201"/>
      <c r="D549" s="201"/>
      <c r="E549" s="201"/>
      <c r="F549" s="70"/>
      <c r="G549" s="202"/>
    </row>
    <row r="550" spans="1:7" ht="17.25" hidden="1">
      <c r="A550" s="20"/>
      <c r="B550" s="201"/>
      <c r="C550" s="201"/>
      <c r="D550" s="201"/>
      <c r="E550" s="201"/>
      <c r="F550" s="70"/>
      <c r="G550" s="202"/>
    </row>
    <row r="551" spans="1:7" ht="15.75">
      <c r="A551" s="27" t="s">
        <v>1128</v>
      </c>
      <c r="B551" s="201"/>
      <c r="C551" s="201"/>
      <c r="D551" s="201"/>
      <c r="E551" s="201"/>
      <c r="F551" s="70"/>
      <c r="G551" s="202"/>
    </row>
    <row r="552" spans="1:7" ht="15.75">
      <c r="A552" s="27"/>
      <c r="B552" s="201"/>
      <c r="C552" s="201"/>
      <c r="D552" s="201"/>
      <c r="E552" s="201"/>
      <c r="F552" s="227" t="s">
        <v>691</v>
      </c>
      <c r="G552" s="205" t="s">
        <v>692</v>
      </c>
    </row>
    <row r="553" spans="1:7" ht="15.75">
      <c r="A553" s="27" t="s">
        <v>189</v>
      </c>
      <c r="B553" s="201"/>
      <c r="C553" s="201"/>
      <c r="D553" s="201"/>
      <c r="E553" s="369">
        <f>F553-'BIEU 11-BANGTIEUTHU (R)'!L7</f>
        <v>0</v>
      </c>
      <c r="F553" s="361">
        <f>SUM(F554:F560)</f>
        <v>440322546108</v>
      </c>
      <c r="G553" s="204">
        <f>SUM(G554:G560)</f>
        <v>548834441151</v>
      </c>
    </row>
    <row r="554" spans="1:7" ht="15.75">
      <c r="A554" s="27" t="s">
        <v>1078</v>
      </c>
      <c r="B554" s="201"/>
      <c r="C554" s="201"/>
      <c r="D554" s="201"/>
      <c r="E554" s="201"/>
      <c r="F554" s="184"/>
      <c r="G554" s="202"/>
    </row>
    <row r="555" spans="1:7" ht="15">
      <c r="A555" s="20" t="s">
        <v>1149</v>
      </c>
      <c r="B555" s="201"/>
      <c r="C555" s="201"/>
      <c r="D555" s="201"/>
      <c r="E555" s="201"/>
      <c r="F555" s="184">
        <f>'BIEU 11-BANGTIEUTHU (R)'!L27+'BIEU 11-BANGTIEUTHU (R)'!L29</f>
        <v>10026783085</v>
      </c>
      <c r="G555" s="70">
        <f>'BIEU 11-BANGTIEUTHU (R)'!P27+'BIEU 11-BANGTIEUTHU (R)'!P29</f>
        <v>10955802325</v>
      </c>
    </row>
    <row r="556" spans="1:7" s="86" customFormat="1" ht="15">
      <c r="A556" s="20" t="s">
        <v>1150</v>
      </c>
      <c r="B556" s="213"/>
      <c r="C556" s="213"/>
      <c r="D556" s="213"/>
      <c r="E556" s="213"/>
      <c r="F556" s="184">
        <f>'BIEU 11-BANGTIEUTHU (R)'!L7-F557-F558-F555</f>
        <v>421068274098</v>
      </c>
      <c r="G556" s="70">
        <f>'BIEU 11-BANGTIEUTHU (R)'!P7-G557-G558-G555</f>
        <v>532446575810</v>
      </c>
    </row>
    <row r="557" spans="1:7" s="86" customFormat="1" ht="15">
      <c r="A557" s="20" t="s">
        <v>1151</v>
      </c>
      <c r="B557" s="213"/>
      <c r="C557" s="213"/>
      <c r="D557" s="213"/>
      <c r="E557" s="213"/>
      <c r="F557" s="184">
        <f>'BIEU 11-BANGTIEUTHU (R)'!L23+'BIEU 11-BANGTIEUTHU (R)'!L26+'BIEU 11-BANGTIEUTHU (R)'!L28</f>
        <v>9041617562</v>
      </c>
      <c r="G557" s="70">
        <f>'BIEU 11-BANGTIEUTHU (R)'!P23+'BIEU 11-BANGTIEUTHU (R)'!P26+'BIEU 11-BANGTIEUTHU (R)'!P28</f>
        <v>4782805342</v>
      </c>
    </row>
    <row r="558" spans="1:7" s="86" customFormat="1" ht="15">
      <c r="A558" s="20" t="s">
        <v>1152</v>
      </c>
      <c r="B558" s="213"/>
      <c r="C558" s="213"/>
      <c r="D558" s="213"/>
      <c r="E558" s="213"/>
      <c r="F558" s="184">
        <f>'BIEU 11-BANGTIEUTHU (R)'!L24</f>
        <v>185871363</v>
      </c>
      <c r="G558" s="70">
        <f>'BIEU 11-BANGTIEUTHU (R)'!P24</f>
        <v>649257674</v>
      </c>
    </row>
    <row r="559" spans="1:7" s="86" customFormat="1" ht="17.25" hidden="1">
      <c r="A559" s="20" t="s">
        <v>190</v>
      </c>
      <c r="B559" s="213"/>
      <c r="C559" s="213"/>
      <c r="D559" s="213"/>
      <c r="E559" s="213"/>
      <c r="F559" s="184"/>
      <c r="G559" s="202"/>
    </row>
    <row r="560" spans="1:7" s="86" customFormat="1" ht="17.25" hidden="1">
      <c r="A560" s="20" t="s">
        <v>833</v>
      </c>
      <c r="B560" s="213"/>
      <c r="C560" s="213"/>
      <c r="D560" s="213"/>
      <c r="E560" s="213"/>
      <c r="F560" s="184"/>
      <c r="G560" s="202"/>
    </row>
    <row r="561" spans="1:7" s="86" customFormat="1" ht="15">
      <c r="A561" s="20"/>
      <c r="B561" s="213"/>
      <c r="C561" s="213"/>
      <c r="D561" s="213"/>
      <c r="E561" s="213"/>
      <c r="F561" s="184"/>
      <c r="G561" s="202"/>
    </row>
    <row r="562" spans="1:7" ht="15.75">
      <c r="A562" s="27" t="s">
        <v>840</v>
      </c>
      <c r="B562" s="201"/>
      <c r="C562" s="201"/>
      <c r="D562" s="201"/>
      <c r="E562" s="201"/>
      <c r="F562" s="71">
        <f>SUM(F564:F569)</f>
        <v>0</v>
      </c>
      <c r="G562" s="204">
        <f>SUM(G564:G569)</f>
        <v>0</v>
      </c>
    </row>
    <row r="563" spans="1:7" ht="17.25" hidden="1">
      <c r="A563" s="20" t="s">
        <v>1078</v>
      </c>
      <c r="B563" s="201"/>
      <c r="C563" s="201"/>
      <c r="D563" s="201"/>
      <c r="E563" s="201"/>
      <c r="F563" s="70"/>
      <c r="G563" s="202"/>
    </row>
    <row r="564" spans="1:7" ht="17.25" hidden="1">
      <c r="A564" s="20" t="s">
        <v>834</v>
      </c>
      <c r="B564" s="201"/>
      <c r="C564" s="201"/>
      <c r="D564" s="201"/>
      <c r="E564" s="201"/>
      <c r="F564" s="70"/>
      <c r="G564" s="202"/>
    </row>
    <row r="565" spans="1:7" ht="17.25" hidden="1">
      <c r="A565" s="20" t="s">
        <v>835</v>
      </c>
      <c r="B565" s="201"/>
      <c r="C565" s="201"/>
      <c r="D565" s="201"/>
      <c r="E565" s="201"/>
      <c r="F565" s="70"/>
      <c r="G565" s="202"/>
    </row>
    <row r="566" spans="1:7" ht="17.25" hidden="1">
      <c r="A566" s="20" t="s">
        <v>836</v>
      </c>
      <c r="B566" s="201"/>
      <c r="C566" s="201"/>
      <c r="D566" s="201"/>
      <c r="E566" s="201"/>
      <c r="F566" s="70">
        <v>0</v>
      </c>
      <c r="G566" s="202">
        <v>0</v>
      </c>
    </row>
    <row r="567" spans="1:7" ht="17.25" hidden="1">
      <c r="A567" s="20" t="s">
        <v>837</v>
      </c>
      <c r="B567" s="201"/>
      <c r="C567" s="201"/>
      <c r="D567" s="201"/>
      <c r="E567" s="201"/>
      <c r="F567" s="8"/>
      <c r="G567" s="43"/>
    </row>
    <row r="568" spans="1:7" ht="17.25" hidden="1">
      <c r="A568" s="20" t="s">
        <v>839</v>
      </c>
      <c r="B568" s="201"/>
      <c r="C568" s="201"/>
      <c r="D568" s="201"/>
      <c r="E568" s="201"/>
      <c r="F568" s="8"/>
      <c r="G568" s="43"/>
    </row>
    <row r="569" spans="1:7" ht="17.25" hidden="1">
      <c r="A569" s="20" t="s">
        <v>838</v>
      </c>
      <c r="B569" s="201"/>
      <c r="C569" s="201"/>
      <c r="D569" s="201"/>
      <c r="E569" s="201"/>
      <c r="F569" s="8"/>
      <c r="G569" s="43"/>
    </row>
    <row r="570" spans="1:7" ht="15">
      <c r="A570" s="20"/>
      <c r="B570" s="201"/>
      <c r="C570" s="201"/>
      <c r="D570" s="201"/>
      <c r="E570" s="201"/>
      <c r="F570" s="8"/>
      <c r="G570" s="43"/>
    </row>
    <row r="571" spans="1:7" ht="15.75">
      <c r="A571" s="27" t="s">
        <v>841</v>
      </c>
      <c r="B571" s="201"/>
      <c r="C571" s="201"/>
      <c r="D571" s="201"/>
      <c r="E571" s="201"/>
      <c r="F571" s="361">
        <f>SUM(F572:F575)</f>
        <v>440322546108</v>
      </c>
      <c r="G571" s="71">
        <f>SUM(G572:G575)</f>
        <v>548834441151</v>
      </c>
    </row>
    <row r="572" spans="1:7" ht="15">
      <c r="A572" s="20" t="s">
        <v>1149</v>
      </c>
      <c r="B572" s="201"/>
      <c r="C572" s="201"/>
      <c r="D572" s="201"/>
      <c r="E572" s="201"/>
      <c r="F572" s="184">
        <f aca="true" t="shared" si="10" ref="F572:G575">F555</f>
        <v>10026783085</v>
      </c>
      <c r="G572" s="70">
        <f t="shared" si="10"/>
        <v>10955802325</v>
      </c>
    </row>
    <row r="573" spans="1:7" ht="15">
      <c r="A573" s="20" t="s">
        <v>1150</v>
      </c>
      <c r="B573" s="201"/>
      <c r="C573" s="201"/>
      <c r="D573" s="201"/>
      <c r="E573" s="201"/>
      <c r="F573" s="184">
        <f t="shared" si="10"/>
        <v>421068274098</v>
      </c>
      <c r="G573" s="70">
        <f t="shared" si="10"/>
        <v>532446575810</v>
      </c>
    </row>
    <row r="574" spans="1:7" ht="15">
      <c r="A574" s="20" t="s">
        <v>1151</v>
      </c>
      <c r="B574" s="201"/>
      <c r="C574" s="201"/>
      <c r="D574" s="201"/>
      <c r="E574" s="201"/>
      <c r="F574" s="184">
        <f t="shared" si="10"/>
        <v>9041617562</v>
      </c>
      <c r="G574" s="70">
        <f t="shared" si="10"/>
        <v>4782805342</v>
      </c>
    </row>
    <row r="575" spans="1:7" ht="15">
      <c r="A575" s="20" t="s">
        <v>1152</v>
      </c>
      <c r="B575" s="201"/>
      <c r="C575" s="201"/>
      <c r="D575" s="201"/>
      <c r="E575" s="201"/>
      <c r="F575" s="184">
        <f t="shared" si="10"/>
        <v>185871363</v>
      </c>
      <c r="G575" s="70">
        <f t="shared" si="10"/>
        <v>649257674</v>
      </c>
    </row>
    <row r="576" spans="1:7" ht="15">
      <c r="A576" s="20"/>
      <c r="B576" s="201"/>
      <c r="C576" s="201"/>
      <c r="D576" s="201"/>
      <c r="E576" s="201"/>
      <c r="F576" s="8"/>
      <c r="G576" s="202"/>
    </row>
    <row r="577" spans="1:7" ht="15.75">
      <c r="A577" s="27" t="s">
        <v>842</v>
      </c>
      <c r="B577" s="201"/>
      <c r="C577" s="201"/>
      <c r="D577" s="201"/>
      <c r="E577" s="369">
        <f>F577-'BIEU 11-BANGTIEUTHU (R)'!D7</f>
        <v>0</v>
      </c>
      <c r="F577" s="368">
        <f>SUM(F578:F582)</f>
        <v>289590961057</v>
      </c>
      <c r="G577" s="177">
        <f>SUM(G578:G582)</f>
        <v>342185404242</v>
      </c>
    </row>
    <row r="578" spans="1:7" ht="15">
      <c r="A578" s="20" t="s">
        <v>843</v>
      </c>
      <c r="B578" s="201"/>
      <c r="C578" s="201"/>
      <c r="D578" s="201"/>
      <c r="E578" s="201"/>
      <c r="F578" s="184">
        <f>'BIEU 11-BANGTIEUTHU (R)'!E27+'BIEU 11-BANGTIEUTHU (R)'!E29</f>
        <v>9868582978</v>
      </c>
      <c r="G578" s="70">
        <f>'BIEU 11-BANGTIEUTHU (R)'!O27+'BIEU 11-BANGTIEUTHU (R)'!O29</f>
        <v>10975065958</v>
      </c>
    </row>
    <row r="579" spans="1:7" ht="15">
      <c r="A579" s="20" t="s">
        <v>844</v>
      </c>
      <c r="B579" s="201"/>
      <c r="C579" s="201"/>
      <c r="D579" s="201"/>
      <c r="E579" s="201"/>
      <c r="F579" s="184">
        <f>'BIEU 11-BANGTIEUTHU (R)'!E7-F578-F580-F581-F582</f>
        <v>270807872908</v>
      </c>
      <c r="G579" s="70">
        <f>'BIEU 11-BANGTIEUTHU (R)'!O7-G578-G580-G581-G582</f>
        <v>325859227080</v>
      </c>
    </row>
    <row r="580" spans="1:7" ht="15">
      <c r="A580" s="20" t="s">
        <v>809</v>
      </c>
      <c r="B580" s="201"/>
      <c r="C580" s="201"/>
      <c r="D580" s="201"/>
      <c r="E580" s="201"/>
      <c r="F580" s="184">
        <f>'BIEU 11-BANGTIEUTHU (R)'!E23+'BIEU 11-BANGTIEUTHU (R)'!E26+'BIEU 11-BANGTIEUTHU (R)'!E28</f>
        <v>8738536376</v>
      </c>
      <c r="G580" s="70">
        <f>'BIEU 11-BANGTIEUTHU (R)'!O23+'BIEU 11-BANGTIEUTHU (R)'!O26+'BIEU 11-BANGTIEUTHU (R)'!O28</f>
        <v>4665458914</v>
      </c>
    </row>
    <row r="581" spans="1:7" ht="15">
      <c r="A581" s="20" t="s">
        <v>1153</v>
      </c>
      <c r="B581" s="201"/>
      <c r="C581" s="201"/>
      <c r="D581" s="201"/>
      <c r="E581" s="201"/>
      <c r="F581" s="184">
        <f>'BIEU 11-BANGTIEUTHU (R)'!E24</f>
        <v>175968795</v>
      </c>
      <c r="G581" s="70">
        <f>'BIEU 11-BANGTIEUTHU (R)'!O24</f>
        <v>685652290</v>
      </c>
    </row>
    <row r="582" spans="1:7" ht="17.25" hidden="1">
      <c r="A582" s="20" t="s">
        <v>496</v>
      </c>
      <c r="B582" s="201"/>
      <c r="C582" s="201"/>
      <c r="D582" s="201"/>
      <c r="E582" s="201"/>
      <c r="F582" s="8">
        <v>0</v>
      </c>
      <c r="G582" s="202">
        <v>0</v>
      </c>
    </row>
    <row r="583" spans="1:7" ht="15">
      <c r="A583" s="20"/>
      <c r="B583" s="201"/>
      <c r="C583" s="201"/>
      <c r="D583" s="201"/>
      <c r="E583" s="201"/>
      <c r="F583" s="8"/>
      <c r="G583" s="202"/>
    </row>
    <row r="584" spans="1:7" ht="15.75">
      <c r="A584" s="27" t="s">
        <v>508</v>
      </c>
      <c r="B584" s="201"/>
      <c r="C584" s="201"/>
      <c r="D584" s="201"/>
      <c r="E584" s="201"/>
      <c r="F584" s="211" t="s">
        <v>691</v>
      </c>
      <c r="G584" s="205" t="s">
        <v>692</v>
      </c>
    </row>
    <row r="585" spans="1:7" ht="15">
      <c r="A585" s="20" t="s">
        <v>804</v>
      </c>
      <c r="B585" s="201"/>
      <c r="C585" s="201"/>
      <c r="D585" s="201"/>
      <c r="E585" s="201"/>
      <c r="F585" s="184">
        <v>5148306155</v>
      </c>
      <c r="G585" s="70">
        <v>17453031458</v>
      </c>
    </row>
    <row r="586" spans="1:7" ht="15">
      <c r="A586" s="20" t="s">
        <v>1157</v>
      </c>
      <c r="B586" s="201"/>
      <c r="C586" s="201"/>
      <c r="D586" s="201"/>
      <c r="E586" s="201"/>
      <c r="F586" s="184">
        <v>51574156</v>
      </c>
      <c r="G586" s="70">
        <v>130261700</v>
      </c>
    </row>
    <row r="587" spans="1:7" ht="15">
      <c r="A587" s="20" t="s">
        <v>1156</v>
      </c>
      <c r="B587" s="201"/>
      <c r="C587" s="201"/>
      <c r="D587" s="201"/>
      <c r="E587" s="201"/>
      <c r="F587" s="184">
        <v>0</v>
      </c>
      <c r="G587" s="70">
        <v>0</v>
      </c>
    </row>
    <row r="588" spans="1:7" ht="15">
      <c r="A588" s="20" t="s">
        <v>805</v>
      </c>
      <c r="B588" s="201"/>
      <c r="C588" s="201"/>
      <c r="D588" s="201"/>
      <c r="E588" s="201"/>
      <c r="F588" s="184">
        <v>1673181991</v>
      </c>
      <c r="G588" s="70">
        <v>1339574000</v>
      </c>
    </row>
    <row r="589" spans="1:7" ht="17.25" hidden="1">
      <c r="A589" s="20" t="s">
        <v>806</v>
      </c>
      <c r="B589" s="201"/>
      <c r="C589" s="201"/>
      <c r="D589" s="201"/>
      <c r="E589" s="201"/>
      <c r="F589" s="184"/>
      <c r="G589" s="70"/>
    </row>
    <row r="590" spans="1:7" ht="15">
      <c r="A590" s="20" t="s">
        <v>497</v>
      </c>
      <c r="B590" s="201"/>
      <c r="C590" s="201"/>
      <c r="D590" s="201"/>
      <c r="E590" s="201"/>
      <c r="F590" s="184">
        <v>7517169492</v>
      </c>
      <c r="G590" s="70">
        <v>4811647917</v>
      </c>
    </row>
    <row r="591" spans="1:7" ht="15">
      <c r="A591" s="20" t="s">
        <v>498</v>
      </c>
      <c r="B591" s="201"/>
      <c r="C591" s="201"/>
      <c r="D591" s="201"/>
      <c r="E591" s="201"/>
      <c r="F591" s="184">
        <v>0</v>
      </c>
      <c r="G591" s="70">
        <v>1330375429</v>
      </c>
    </row>
    <row r="592" spans="1:7" ht="17.25" hidden="1">
      <c r="A592" s="20" t="s">
        <v>807</v>
      </c>
      <c r="B592" s="201"/>
      <c r="C592" s="201"/>
      <c r="D592" s="201"/>
      <c r="E592" s="201"/>
      <c r="F592" s="184"/>
      <c r="G592" s="70"/>
    </row>
    <row r="593" spans="1:7" ht="15">
      <c r="A593" s="20" t="s">
        <v>808</v>
      </c>
      <c r="B593" s="201"/>
      <c r="C593" s="201"/>
      <c r="D593" s="201"/>
      <c r="E593" s="201"/>
      <c r="F593" s="184">
        <v>38184400</v>
      </c>
      <c r="G593" s="70">
        <v>104115787</v>
      </c>
    </row>
    <row r="594" spans="1:7" ht="15.75">
      <c r="A594" s="203" t="s">
        <v>695</v>
      </c>
      <c r="B594" s="201"/>
      <c r="C594" s="201"/>
      <c r="D594" s="201"/>
      <c r="E594" s="369">
        <f>F594-'BIEU 11-BANGTIEUTHU (R)'!L30</f>
        <v>0</v>
      </c>
      <c r="F594" s="361">
        <f>SUM(F585:F593)</f>
        <v>14428416194</v>
      </c>
      <c r="G594" s="204">
        <f>SUM(G585:G593)</f>
        <v>25169006291</v>
      </c>
    </row>
    <row r="595" spans="1:7" ht="18" hidden="1">
      <c r="A595" s="203"/>
      <c r="B595" s="201"/>
      <c r="C595" s="201"/>
      <c r="D595" s="201"/>
      <c r="E595" s="201"/>
      <c r="F595" s="5"/>
      <c r="G595" s="44"/>
    </row>
    <row r="596" spans="1:7" ht="15.75">
      <c r="A596" s="27" t="s">
        <v>509</v>
      </c>
      <c r="B596" s="201"/>
      <c r="C596" s="201"/>
      <c r="D596" s="201"/>
      <c r="E596" s="201"/>
      <c r="F596" s="211" t="s">
        <v>691</v>
      </c>
      <c r="G596" s="205" t="s">
        <v>692</v>
      </c>
    </row>
    <row r="597" spans="1:7" ht="15">
      <c r="A597" s="20" t="s">
        <v>499</v>
      </c>
      <c r="B597" s="201"/>
      <c r="C597" s="201"/>
      <c r="D597" s="201"/>
      <c r="E597" s="201"/>
      <c r="F597" s="184">
        <v>2375181708</v>
      </c>
      <c r="G597" s="202">
        <v>4326366554</v>
      </c>
    </row>
    <row r="598" spans="1:7" ht="17.25" hidden="1">
      <c r="A598" s="20" t="s">
        <v>500</v>
      </c>
      <c r="B598" s="201"/>
      <c r="C598" s="201"/>
      <c r="D598" s="201"/>
      <c r="E598" s="201"/>
      <c r="F598" s="184"/>
      <c r="G598" s="202"/>
    </row>
    <row r="599" spans="1:7" ht="17.25" hidden="1">
      <c r="A599" s="20" t="s">
        <v>501</v>
      </c>
      <c r="B599" s="201"/>
      <c r="C599" s="201"/>
      <c r="D599" s="201"/>
      <c r="E599" s="201"/>
      <c r="F599" s="184"/>
      <c r="G599" s="202"/>
    </row>
    <row r="600" spans="1:7" ht="17.25" hidden="1">
      <c r="A600" s="20" t="s">
        <v>502</v>
      </c>
      <c r="B600" s="201"/>
      <c r="C600" s="201"/>
      <c r="D600" s="201"/>
      <c r="E600" s="201"/>
      <c r="F600" s="184"/>
      <c r="G600" s="202"/>
    </row>
    <row r="601" spans="1:7" ht="15">
      <c r="A601" s="20" t="s">
        <v>503</v>
      </c>
      <c r="B601" s="201"/>
      <c r="C601" s="201"/>
      <c r="D601" s="201"/>
      <c r="E601" s="201"/>
      <c r="F601" s="184">
        <v>0</v>
      </c>
      <c r="G601" s="202">
        <v>144949122</v>
      </c>
    </row>
    <row r="602" spans="1:7" ht="17.25" hidden="1">
      <c r="A602" s="20" t="s">
        <v>504</v>
      </c>
      <c r="B602" s="201"/>
      <c r="C602" s="201"/>
      <c r="D602" s="201"/>
      <c r="E602" s="201"/>
      <c r="F602" s="184">
        <v>0</v>
      </c>
      <c r="G602" s="202">
        <v>0</v>
      </c>
    </row>
    <row r="603" spans="1:7" ht="17.25" hidden="1">
      <c r="A603" s="20" t="s">
        <v>505</v>
      </c>
      <c r="B603" s="201"/>
      <c r="C603" s="201"/>
      <c r="D603" s="201"/>
      <c r="E603" s="201"/>
      <c r="F603" s="184">
        <v>0</v>
      </c>
      <c r="G603" s="202">
        <v>0</v>
      </c>
    </row>
    <row r="604" spans="1:7" ht="15">
      <c r="A604" s="20" t="s">
        <v>507</v>
      </c>
      <c r="B604" s="201"/>
      <c r="C604" s="201"/>
      <c r="D604" s="201"/>
      <c r="E604" s="201"/>
      <c r="F604" s="184">
        <v>0</v>
      </c>
      <c r="G604" s="202">
        <v>403085257</v>
      </c>
    </row>
    <row r="605" spans="1:7" ht="15.75">
      <c r="A605" s="207" t="s">
        <v>695</v>
      </c>
      <c r="B605" s="208"/>
      <c r="C605" s="208"/>
      <c r="D605" s="208"/>
      <c r="E605" s="370">
        <f>F605-'BIEU 11-BANGTIEUTHU (R)'!D30</f>
        <v>0</v>
      </c>
      <c r="F605" s="363">
        <f>SUM(F597:F604)</f>
        <v>2375181708</v>
      </c>
      <c r="G605" s="209">
        <f>SUM(G597:G604)</f>
        <v>4874400933</v>
      </c>
    </row>
    <row r="606" spans="1:7" ht="17.25" hidden="1">
      <c r="A606" s="253"/>
      <c r="B606" s="254"/>
      <c r="C606" s="254"/>
      <c r="D606" s="254"/>
      <c r="E606" s="254"/>
      <c r="F606" s="152"/>
      <c r="G606" s="255"/>
    </row>
    <row r="607" spans="1:7" ht="15.75">
      <c r="A607" s="27" t="s">
        <v>560</v>
      </c>
      <c r="B607" s="201"/>
      <c r="C607" s="201"/>
      <c r="D607" s="201"/>
      <c r="E607" s="201"/>
      <c r="F607" s="211" t="s">
        <v>691</v>
      </c>
      <c r="G607" s="205" t="s">
        <v>692</v>
      </c>
    </row>
    <row r="608" spans="1:7" ht="15">
      <c r="A608" s="20" t="s">
        <v>556</v>
      </c>
      <c r="B608" s="201"/>
      <c r="C608" s="201"/>
      <c r="D608" s="201"/>
      <c r="E608" s="201"/>
      <c r="F608" s="70">
        <f>'B 02-DN KQKD moi (R)'!E24</f>
        <v>4022616136</v>
      </c>
      <c r="G608" s="202">
        <f>'B 02-DN KQKD moi (R)'!G24</f>
        <v>0</v>
      </c>
    </row>
    <row r="609" spans="1:7" ht="15">
      <c r="A609" s="20" t="s">
        <v>557</v>
      </c>
      <c r="B609" s="201"/>
      <c r="C609" s="201"/>
      <c r="D609" s="201"/>
      <c r="E609" s="201"/>
      <c r="F609" s="70"/>
      <c r="G609" s="43"/>
    </row>
    <row r="610" spans="1:7" ht="15">
      <c r="A610" s="20" t="s">
        <v>558</v>
      </c>
      <c r="B610" s="201"/>
      <c r="C610" s="201"/>
      <c r="D610" s="201"/>
      <c r="E610" s="201"/>
      <c r="F610" s="70"/>
      <c r="G610" s="43"/>
    </row>
    <row r="611" spans="1:7" ht="17.25" hidden="1">
      <c r="A611" s="20"/>
      <c r="B611" s="201"/>
      <c r="C611" s="201"/>
      <c r="D611" s="201"/>
      <c r="E611" s="201"/>
      <c r="F611" s="70"/>
      <c r="G611" s="43"/>
    </row>
    <row r="612" spans="1:7" ht="17.25" hidden="1">
      <c r="A612" s="20"/>
      <c r="B612" s="201"/>
      <c r="C612" s="201"/>
      <c r="D612" s="201"/>
      <c r="E612" s="201"/>
      <c r="F612" s="70"/>
      <c r="G612" s="43"/>
    </row>
    <row r="613" spans="1:7" ht="18" hidden="1">
      <c r="A613" s="238" t="s">
        <v>559</v>
      </c>
      <c r="B613" s="208"/>
      <c r="C613" s="208"/>
      <c r="D613" s="208"/>
      <c r="E613" s="208"/>
      <c r="F613" s="240" t="s">
        <v>691</v>
      </c>
      <c r="G613" s="239" t="s">
        <v>692</v>
      </c>
    </row>
    <row r="614" spans="1:7" ht="17.25" hidden="1">
      <c r="A614" s="12" t="s">
        <v>561</v>
      </c>
      <c r="G614" s="77"/>
    </row>
    <row r="615" spans="1:7" ht="17.25" hidden="1">
      <c r="A615" s="12" t="s">
        <v>562</v>
      </c>
      <c r="G615" s="77"/>
    </row>
    <row r="616" spans="1:7" s="145" customFormat="1" ht="17.25" hidden="1">
      <c r="A616" s="163" t="s">
        <v>320</v>
      </c>
      <c r="B616" s="144"/>
      <c r="C616" s="144"/>
      <c r="D616" s="144"/>
      <c r="E616" s="144"/>
      <c r="F616" s="144"/>
      <c r="G616" s="77"/>
    </row>
    <row r="617" spans="1:7" s="145" customFormat="1" ht="17.25" hidden="1">
      <c r="A617" s="163" t="s">
        <v>321</v>
      </c>
      <c r="B617" s="144"/>
      <c r="C617" s="144"/>
      <c r="D617" s="144"/>
      <c r="E617" s="144"/>
      <c r="F617" s="144"/>
      <c r="G617" s="77"/>
    </row>
    <row r="618" spans="1:7" s="145" customFormat="1" ht="17.25" hidden="1">
      <c r="A618" s="163" t="s">
        <v>322</v>
      </c>
      <c r="B618" s="144"/>
      <c r="C618" s="144"/>
      <c r="D618" s="144"/>
      <c r="E618" s="144"/>
      <c r="F618" s="144"/>
      <c r="G618" s="77"/>
    </row>
    <row r="619" spans="1:7" s="145" customFormat="1" ht="17.25" hidden="1">
      <c r="A619" s="145" t="s">
        <v>323</v>
      </c>
      <c r="B619" s="144"/>
      <c r="C619" s="144"/>
      <c r="D619" s="144"/>
      <c r="E619" s="144"/>
      <c r="F619" s="144"/>
      <c r="G619" s="77"/>
    </row>
    <row r="620" spans="2:7" s="145" customFormat="1" ht="17.25" hidden="1">
      <c r="B620" s="144"/>
      <c r="C620" s="144"/>
      <c r="D620" s="144"/>
      <c r="E620" s="144"/>
      <c r="F620" s="144"/>
      <c r="G620" s="77"/>
    </row>
    <row r="621" spans="1:7" ht="18" hidden="1">
      <c r="A621" s="198" t="s">
        <v>324</v>
      </c>
      <c r="B621" s="199"/>
      <c r="C621" s="199"/>
      <c r="D621" s="199"/>
      <c r="E621" s="199"/>
      <c r="F621" s="210" t="s">
        <v>691</v>
      </c>
      <c r="G621" s="200" t="s">
        <v>692</v>
      </c>
    </row>
    <row r="622" spans="1:7" ht="17.25" hidden="1">
      <c r="A622" s="20" t="s">
        <v>325</v>
      </c>
      <c r="B622" s="201"/>
      <c r="C622" s="201"/>
      <c r="D622" s="201"/>
      <c r="E622" s="201"/>
      <c r="F622" s="70">
        <v>58210565665</v>
      </c>
      <c r="G622" s="70">
        <v>37097611500</v>
      </c>
    </row>
    <row r="623" spans="1:7" ht="17.25" hidden="1">
      <c r="A623" s="20" t="s">
        <v>326</v>
      </c>
      <c r="B623" s="201"/>
      <c r="C623" s="201"/>
      <c r="D623" s="201"/>
      <c r="E623" s="201"/>
      <c r="F623" s="70">
        <v>240657346913</v>
      </c>
      <c r="G623" s="70">
        <v>209240974215</v>
      </c>
    </row>
    <row r="624" spans="1:7" ht="17.25" hidden="1">
      <c r="A624" s="20" t="s">
        <v>327</v>
      </c>
      <c r="B624" s="201"/>
      <c r="C624" s="201"/>
      <c r="D624" s="201"/>
      <c r="E624" s="201"/>
      <c r="F624" s="70">
        <f>18403404341+112406723</f>
        <v>18515811064</v>
      </c>
      <c r="G624" s="70">
        <v>20127314069</v>
      </c>
    </row>
    <row r="625" spans="1:7" ht="17.25" hidden="1">
      <c r="A625" s="20" t="s">
        <v>328</v>
      </c>
      <c r="B625" s="201"/>
      <c r="C625" s="201"/>
      <c r="D625" s="201"/>
      <c r="E625" s="201"/>
      <c r="F625" s="70">
        <v>4300668838</v>
      </c>
      <c r="G625" s="70">
        <v>5038639903</v>
      </c>
    </row>
    <row r="626" spans="1:7" ht="17.25" hidden="1">
      <c r="A626" s="20" t="s">
        <v>329</v>
      </c>
      <c r="B626" s="201"/>
      <c r="C626" s="201"/>
      <c r="D626" s="201"/>
      <c r="E626" s="201"/>
      <c r="F626" s="70">
        <v>34747724257</v>
      </c>
      <c r="G626" s="70">
        <v>28762948512</v>
      </c>
    </row>
    <row r="627" spans="1:7" ht="18" hidden="1">
      <c r="A627" s="207" t="s">
        <v>695</v>
      </c>
      <c r="B627" s="208"/>
      <c r="C627" s="208"/>
      <c r="D627" s="208"/>
      <c r="E627" s="208"/>
      <c r="F627" s="212">
        <f>F622+F623+F624+F625+F626</f>
        <v>356432116737</v>
      </c>
      <c r="G627" s="209">
        <f>G622+G623+G624+G625+G626</f>
        <v>300267488199</v>
      </c>
    </row>
    <row r="628" spans="1:7" ht="18" hidden="1">
      <c r="A628" s="269"/>
      <c r="B628" s="24"/>
      <c r="C628" s="24"/>
      <c r="D628" s="24"/>
      <c r="E628" s="24"/>
      <c r="F628" s="270"/>
      <c r="G628" s="271"/>
    </row>
    <row r="629" spans="1:7" ht="18" hidden="1">
      <c r="A629" s="272" t="s">
        <v>330</v>
      </c>
      <c r="B629" s="199"/>
      <c r="C629" s="199"/>
      <c r="D629" s="199"/>
      <c r="E629" s="199"/>
      <c r="F629" s="210"/>
      <c r="G629" s="200"/>
    </row>
    <row r="630" spans="1:7" ht="18" hidden="1">
      <c r="A630" s="216" t="s">
        <v>753</v>
      </c>
      <c r="B630" s="201"/>
      <c r="C630" s="201"/>
      <c r="D630" s="201"/>
      <c r="E630" s="201"/>
      <c r="F630" s="70"/>
      <c r="G630" s="202"/>
    </row>
    <row r="631" spans="1:7" ht="18" hidden="1">
      <c r="A631" s="216" t="s">
        <v>752</v>
      </c>
      <c r="B631" s="201"/>
      <c r="C631" s="201"/>
      <c r="D631" s="201"/>
      <c r="E631" s="201"/>
      <c r="F631" s="211" t="s">
        <v>691</v>
      </c>
      <c r="G631" s="205" t="s">
        <v>692</v>
      </c>
    </row>
    <row r="632" spans="1:7" s="145" customFormat="1" ht="17.25" hidden="1">
      <c r="A632" s="228" t="s">
        <v>331</v>
      </c>
      <c r="B632" s="229"/>
      <c r="C632" s="229"/>
      <c r="D632" s="229"/>
      <c r="E632" s="229"/>
      <c r="F632" s="236"/>
      <c r="G632" s="202"/>
    </row>
    <row r="633" spans="1:7" s="145" customFormat="1" ht="17.25" hidden="1">
      <c r="A633" s="230" t="s">
        <v>810</v>
      </c>
      <c r="B633" s="229"/>
      <c r="C633" s="229"/>
      <c r="D633" s="229"/>
      <c r="E633" s="229"/>
      <c r="F633" s="236"/>
      <c r="G633" s="202"/>
    </row>
    <row r="634" spans="1:7" s="145" customFormat="1" ht="17.25" hidden="1">
      <c r="A634" s="230" t="s">
        <v>811</v>
      </c>
      <c r="B634" s="229"/>
      <c r="C634" s="229"/>
      <c r="D634" s="229"/>
      <c r="E634" s="229"/>
      <c r="F634" s="236"/>
      <c r="G634" s="202"/>
    </row>
    <row r="635" spans="1:7" s="145" customFormat="1" ht="17.25" hidden="1">
      <c r="A635" s="230" t="s">
        <v>332</v>
      </c>
      <c r="B635" s="229"/>
      <c r="C635" s="229"/>
      <c r="D635" s="229"/>
      <c r="E635" s="229"/>
      <c r="F635" s="236"/>
      <c r="G635" s="202"/>
    </row>
    <row r="636" spans="1:7" s="145" customFormat="1" ht="17.25" hidden="1">
      <c r="A636" s="230" t="s">
        <v>812</v>
      </c>
      <c r="B636" s="229"/>
      <c r="C636" s="229"/>
      <c r="D636" s="229"/>
      <c r="E636" s="229"/>
      <c r="F636" s="236"/>
      <c r="G636" s="202"/>
    </row>
    <row r="637" spans="1:7" s="145" customFormat="1" ht="17.25" hidden="1">
      <c r="A637" s="230" t="s">
        <v>813</v>
      </c>
      <c r="B637" s="229"/>
      <c r="C637" s="229"/>
      <c r="D637" s="229"/>
      <c r="E637" s="229"/>
      <c r="F637" s="236"/>
      <c r="G637" s="202"/>
    </row>
    <row r="638" spans="1:7" s="145" customFormat="1" ht="17.25" hidden="1">
      <c r="A638" s="228" t="s">
        <v>751</v>
      </c>
      <c r="B638" s="229"/>
      <c r="C638" s="229"/>
      <c r="D638" s="229"/>
      <c r="E638" s="229"/>
      <c r="F638" s="236"/>
      <c r="G638" s="202"/>
    </row>
    <row r="639" spans="1:7" s="145" customFormat="1" ht="17.25" hidden="1">
      <c r="A639" s="230" t="s">
        <v>750</v>
      </c>
      <c r="B639" s="229"/>
      <c r="C639" s="229"/>
      <c r="D639" s="229"/>
      <c r="E639" s="229"/>
      <c r="F639" s="236"/>
      <c r="G639" s="202"/>
    </row>
    <row r="640" spans="1:7" s="145" customFormat="1" ht="17.25" hidden="1">
      <c r="A640" s="230" t="s">
        <v>749</v>
      </c>
      <c r="B640" s="229"/>
      <c r="C640" s="229"/>
      <c r="D640" s="229"/>
      <c r="E640" s="229"/>
      <c r="F640" s="236"/>
      <c r="G640" s="202"/>
    </row>
    <row r="641" spans="1:7" s="145" customFormat="1" ht="17.25" hidden="1">
      <c r="A641" s="230" t="s">
        <v>487</v>
      </c>
      <c r="B641" s="229"/>
      <c r="C641" s="229"/>
      <c r="D641" s="229"/>
      <c r="E641" s="229"/>
      <c r="F641" s="236"/>
      <c r="G641" s="202"/>
    </row>
    <row r="642" spans="1:7" s="145" customFormat="1" ht="17.25" hidden="1">
      <c r="A642" s="228" t="s">
        <v>488</v>
      </c>
      <c r="B642" s="229"/>
      <c r="C642" s="229"/>
      <c r="D642" s="229"/>
      <c r="E642" s="229"/>
      <c r="F642" s="236"/>
      <c r="G642" s="202"/>
    </row>
    <row r="643" spans="1:7" s="145" customFormat="1" ht="17.25" hidden="1">
      <c r="A643" s="230"/>
      <c r="B643" s="229"/>
      <c r="C643" s="229"/>
      <c r="D643" s="229"/>
      <c r="E643" s="229"/>
      <c r="F643" s="236"/>
      <c r="G643" s="202"/>
    </row>
    <row r="644" spans="1:7" ht="18" hidden="1">
      <c r="A644" s="216" t="s">
        <v>707</v>
      </c>
      <c r="B644" s="201"/>
      <c r="C644" s="201"/>
      <c r="D644" s="201"/>
      <c r="E644" s="201"/>
      <c r="F644" s="8"/>
      <c r="G644" s="43"/>
    </row>
    <row r="645" spans="1:7" ht="17.25" hidden="1">
      <c r="A645" s="231" t="s">
        <v>709</v>
      </c>
      <c r="B645" s="201"/>
      <c r="C645" s="201"/>
      <c r="D645" s="201"/>
      <c r="E645" s="201"/>
      <c r="F645" s="8"/>
      <c r="G645" s="43"/>
    </row>
    <row r="646" spans="1:7" ht="17.25" hidden="1">
      <c r="A646" s="231" t="s">
        <v>710</v>
      </c>
      <c r="B646" s="201"/>
      <c r="C646" s="201"/>
      <c r="D646" s="201"/>
      <c r="E646" s="201"/>
      <c r="F646" s="8"/>
      <c r="G646" s="43"/>
    </row>
    <row r="647" spans="1:7" ht="17.25" hidden="1">
      <c r="A647" s="231" t="s">
        <v>711</v>
      </c>
      <c r="B647" s="201"/>
      <c r="C647" s="201"/>
      <c r="D647" s="201"/>
      <c r="E647" s="201"/>
      <c r="F647" s="8"/>
      <c r="G647" s="43"/>
    </row>
    <row r="648" spans="1:7" ht="17.25" hidden="1">
      <c r="A648" s="231" t="s">
        <v>714</v>
      </c>
      <c r="B648" s="201"/>
      <c r="C648" s="201"/>
      <c r="D648" s="201"/>
      <c r="E648" s="201"/>
      <c r="F648" s="8"/>
      <c r="G648" s="43"/>
    </row>
    <row r="649" spans="1:7" ht="17.25" hidden="1">
      <c r="A649" s="231" t="s">
        <v>715</v>
      </c>
      <c r="B649" s="201"/>
      <c r="C649" s="201"/>
      <c r="D649" s="201"/>
      <c r="E649" s="201"/>
      <c r="F649" s="8"/>
      <c r="G649" s="43"/>
    </row>
    <row r="650" spans="1:7" ht="17.25" hidden="1">
      <c r="A650" s="231" t="s">
        <v>716</v>
      </c>
      <c r="B650" s="201"/>
      <c r="C650" s="201"/>
      <c r="D650" s="201"/>
      <c r="E650" s="201"/>
      <c r="F650" s="8"/>
      <c r="G650" s="43"/>
    </row>
    <row r="651" spans="1:7" ht="17.25" hidden="1">
      <c r="A651" s="231" t="s">
        <v>719</v>
      </c>
      <c r="B651" s="201"/>
      <c r="C651" s="201"/>
      <c r="D651" s="201"/>
      <c r="E651" s="201"/>
      <c r="F651" s="8"/>
      <c r="G651" s="43"/>
    </row>
    <row r="652" spans="1:7" ht="17.25" hidden="1">
      <c r="A652" s="20" t="s">
        <v>708</v>
      </c>
      <c r="B652" s="201"/>
      <c r="C652" s="201"/>
      <c r="D652" s="201"/>
      <c r="E652" s="201"/>
      <c r="F652" s="8"/>
      <c r="G652" s="43"/>
    </row>
    <row r="653" spans="1:7" ht="18" hidden="1">
      <c r="A653" s="27" t="s">
        <v>218</v>
      </c>
      <c r="B653" s="201"/>
      <c r="C653" s="201"/>
      <c r="D653" s="201"/>
      <c r="E653" s="201"/>
      <c r="F653" s="211" t="s">
        <v>691</v>
      </c>
      <c r="G653" s="205" t="s">
        <v>692</v>
      </c>
    </row>
    <row r="654" spans="1:7" ht="17.25" hidden="1">
      <c r="A654" s="20" t="s">
        <v>212</v>
      </c>
      <c r="B654" s="201"/>
      <c r="C654" s="201"/>
      <c r="D654" s="201"/>
      <c r="E654" s="201"/>
      <c r="F654" s="8">
        <v>2562</v>
      </c>
      <c r="G654" s="8">
        <v>2570</v>
      </c>
    </row>
    <row r="655" spans="1:7" ht="17.25" hidden="1">
      <c r="A655" s="20" t="s">
        <v>213</v>
      </c>
      <c r="B655" s="201"/>
      <c r="C655" s="201"/>
      <c r="D655" s="201"/>
      <c r="E655" s="201"/>
      <c r="F655" s="8">
        <v>2561</v>
      </c>
      <c r="G655" s="8">
        <v>2536</v>
      </c>
    </row>
    <row r="656" spans="1:7" ht="17.25" hidden="1">
      <c r="A656" s="20" t="s">
        <v>214</v>
      </c>
      <c r="B656" s="201"/>
      <c r="C656" s="201"/>
      <c r="D656" s="201"/>
      <c r="E656" s="201"/>
      <c r="F656" s="8"/>
      <c r="G656" s="43"/>
    </row>
    <row r="657" spans="1:7" ht="17.25" hidden="1">
      <c r="A657" s="20" t="s">
        <v>215</v>
      </c>
      <c r="B657" s="201"/>
      <c r="C657" s="201"/>
      <c r="D657" s="201"/>
      <c r="E657" s="201"/>
      <c r="F657" s="8">
        <f>'BIEU 02-Bang CDSPS (R)'!J170</f>
        <v>176984190414</v>
      </c>
      <c r="G657" s="43">
        <v>185852278743</v>
      </c>
    </row>
    <row r="658" spans="1:7" ht="17.25" hidden="1">
      <c r="A658" s="20" t="s">
        <v>513</v>
      </c>
      <c r="B658" s="201"/>
      <c r="C658" s="201"/>
      <c r="D658" s="201"/>
      <c r="E658" s="201"/>
      <c r="F658" s="8">
        <f>'BIEU 02-Bang CDSPS (R)'!H172</f>
        <v>9993555218</v>
      </c>
      <c r="G658" s="43">
        <v>32667654514</v>
      </c>
    </row>
    <row r="659" spans="1:7" ht="17.25" hidden="1">
      <c r="A659" s="20" t="s">
        <v>216</v>
      </c>
      <c r="B659" s="201"/>
      <c r="C659" s="201"/>
      <c r="D659" s="201"/>
      <c r="E659" s="201"/>
      <c r="F659" s="8"/>
      <c r="G659" s="43"/>
    </row>
    <row r="660" spans="1:7" ht="18" hidden="1">
      <c r="A660" s="27" t="s">
        <v>217</v>
      </c>
      <c r="B660" s="201"/>
      <c r="C660" s="201"/>
      <c r="D660" s="201"/>
      <c r="E660" s="201"/>
      <c r="F660" s="8"/>
      <c r="G660" s="43"/>
    </row>
    <row r="661" spans="1:7" ht="18" hidden="1">
      <c r="A661" s="20" t="s">
        <v>219</v>
      </c>
      <c r="B661" s="201"/>
      <c r="C661" s="201"/>
      <c r="D661" s="201"/>
      <c r="E661" s="201"/>
      <c r="F661" s="5">
        <f>'B 02-DN KQKD moi (R)'!E23</f>
        <v>162448788394</v>
      </c>
      <c r="G661" s="44">
        <f>'B 02-DN KQKD moi (R)'!G23</f>
        <v>200679751983</v>
      </c>
    </row>
    <row r="662" spans="1:7" ht="17.25" hidden="1">
      <c r="A662" s="20" t="s">
        <v>220</v>
      </c>
      <c r="B662" s="201"/>
      <c r="C662" s="201"/>
      <c r="D662" s="201"/>
      <c r="E662" s="201"/>
      <c r="F662" s="8"/>
      <c r="G662" s="43"/>
    </row>
    <row r="663" spans="1:7" ht="17.25" hidden="1">
      <c r="A663" s="20" t="s">
        <v>221</v>
      </c>
      <c r="B663" s="201"/>
      <c r="C663" s="201"/>
      <c r="D663" s="201"/>
      <c r="E663" s="201"/>
      <c r="F663" s="8">
        <f>SUM(F664:F668)</f>
        <v>1330375429</v>
      </c>
      <c r="G663" s="43">
        <f>SUM(G664:G668)</f>
        <v>0</v>
      </c>
    </row>
    <row r="664" spans="1:7" s="191" customFormat="1" ht="16.5" hidden="1">
      <c r="A664" s="153" t="s">
        <v>222</v>
      </c>
      <c r="B664" s="214"/>
      <c r="C664" s="214"/>
      <c r="D664" s="214"/>
      <c r="E664" s="214"/>
      <c r="F664" s="72"/>
      <c r="G664" s="215"/>
    </row>
    <row r="665" spans="1:7" s="191" customFormat="1" ht="16.5" hidden="1">
      <c r="A665" s="153" t="s">
        <v>223</v>
      </c>
      <c r="B665" s="214"/>
      <c r="C665" s="214"/>
      <c r="D665" s="214"/>
      <c r="E665" s="214"/>
      <c r="F665" s="72"/>
      <c r="G665" s="215"/>
    </row>
    <row r="666" spans="1:7" s="191" customFormat="1" ht="16.5" hidden="1">
      <c r="A666" s="153" t="s">
        <v>224</v>
      </c>
      <c r="B666" s="214"/>
      <c r="C666" s="214"/>
      <c r="D666" s="214"/>
      <c r="E666" s="214"/>
      <c r="F666" s="72"/>
      <c r="G666" s="215"/>
    </row>
    <row r="667" spans="1:7" s="191" customFormat="1" ht="16.5" hidden="1">
      <c r="A667" s="153" t="s">
        <v>225</v>
      </c>
      <c r="B667" s="214"/>
      <c r="C667" s="214"/>
      <c r="D667" s="214"/>
      <c r="E667" s="214"/>
      <c r="F667" s="72"/>
      <c r="G667" s="215"/>
    </row>
    <row r="668" spans="1:7" s="191" customFormat="1" ht="16.5" hidden="1">
      <c r="A668" s="153" t="s">
        <v>936</v>
      </c>
      <c r="B668" s="214"/>
      <c r="C668" s="214"/>
      <c r="D668" s="214"/>
      <c r="E668" s="214"/>
      <c r="F668" s="72">
        <f>G672</f>
        <v>1330375429</v>
      </c>
      <c r="G668" s="215"/>
    </row>
    <row r="669" spans="1:7" ht="17.25" hidden="1">
      <c r="A669" s="20" t="s">
        <v>92</v>
      </c>
      <c r="B669" s="201"/>
      <c r="C669" s="201"/>
      <c r="D669" s="201"/>
      <c r="E669" s="201"/>
      <c r="F669" s="8">
        <f>SUM(F670:F672)</f>
        <v>1724756147</v>
      </c>
      <c r="G669" s="43">
        <f>SUM(G670:G672)</f>
        <v>2800211129</v>
      </c>
    </row>
    <row r="670" spans="1:7" s="191" customFormat="1" ht="16.5" hidden="1">
      <c r="A670" s="153" t="s">
        <v>226</v>
      </c>
      <c r="B670" s="214"/>
      <c r="C670" s="214"/>
      <c r="D670" s="214"/>
      <c r="E670" s="214"/>
      <c r="F670" s="72">
        <f>F588</f>
        <v>1673181991</v>
      </c>
      <c r="G670" s="215">
        <f>G588</f>
        <v>1339574000</v>
      </c>
    </row>
    <row r="671" spans="1:7" s="191" customFormat="1" ht="16.5" hidden="1">
      <c r="A671" s="153" t="s">
        <v>227</v>
      </c>
      <c r="B671" s="214"/>
      <c r="C671" s="214"/>
      <c r="D671" s="214"/>
      <c r="E671" s="214"/>
      <c r="F671" s="72">
        <f>F586</f>
        <v>51574156</v>
      </c>
      <c r="G671" s="215">
        <f>G586</f>
        <v>130261700</v>
      </c>
    </row>
    <row r="672" spans="1:7" s="191" customFormat="1" ht="16.5" hidden="1">
      <c r="A672" s="153" t="s">
        <v>228</v>
      </c>
      <c r="B672" s="214"/>
      <c r="C672" s="214"/>
      <c r="D672" s="214"/>
      <c r="E672" s="214"/>
      <c r="F672" s="72">
        <f>F591</f>
        <v>0</v>
      </c>
      <c r="G672" s="72">
        <f>G591</f>
        <v>1330375429</v>
      </c>
    </row>
    <row r="673" spans="1:7" ht="17.25" hidden="1">
      <c r="A673" s="20" t="s">
        <v>229</v>
      </c>
      <c r="B673" s="201"/>
      <c r="C673" s="201"/>
      <c r="D673" s="201"/>
      <c r="E673" s="201"/>
      <c r="F673" s="8">
        <f>F661+F663-F669</f>
        <v>162054407676</v>
      </c>
      <c r="G673" s="43">
        <f>G661+G663-G669</f>
        <v>197879540854</v>
      </c>
    </row>
    <row r="674" spans="1:7" ht="17.25" hidden="1">
      <c r="A674" s="20" t="s">
        <v>93</v>
      </c>
      <c r="B674" s="201"/>
      <c r="C674" s="201"/>
      <c r="D674" s="201"/>
      <c r="E674" s="201"/>
      <c r="F674" s="8"/>
      <c r="G674" s="43"/>
    </row>
    <row r="675" spans="1:7" ht="17.25" hidden="1">
      <c r="A675" s="20" t="s">
        <v>935</v>
      </c>
      <c r="B675" s="201"/>
      <c r="C675" s="201"/>
      <c r="D675" s="201"/>
      <c r="E675" s="201"/>
      <c r="F675" s="8">
        <f>ROUND(F673*15%,0)</f>
        <v>24308161151</v>
      </c>
      <c r="G675" s="43">
        <f>ROUND((G673-2688578)*15%,0)+ROUND(2688578*28%,0)</f>
        <v>29682280643</v>
      </c>
    </row>
    <row r="676" spans="1:7" ht="17.25" hidden="1">
      <c r="A676" s="20" t="s">
        <v>98</v>
      </c>
      <c r="B676" s="201"/>
      <c r="C676" s="201"/>
      <c r="D676" s="201"/>
      <c r="E676" s="201"/>
      <c r="F676" s="8">
        <f>ROUND((F673)*15%,0)</f>
        <v>24308161151</v>
      </c>
      <c r="G676" s="8">
        <f>ROUND((G673-2688578)*15%,0)</f>
        <v>29681527841</v>
      </c>
    </row>
    <row r="677" spans="1:7" ht="17.25" hidden="1">
      <c r="A677" s="20" t="s">
        <v>97</v>
      </c>
      <c r="B677" s="201"/>
      <c r="C677" s="201"/>
      <c r="D677" s="201"/>
      <c r="E677" s="201"/>
      <c r="F677" s="8">
        <f>F675-F676</f>
        <v>0</v>
      </c>
      <c r="G677" s="8">
        <f>G675-G676</f>
        <v>752802</v>
      </c>
    </row>
    <row r="678" spans="1:7" ht="17.25" hidden="1">
      <c r="A678" s="232" t="s">
        <v>94</v>
      </c>
      <c r="B678" s="201"/>
      <c r="C678" s="201"/>
      <c r="D678" s="201"/>
      <c r="E678" s="201"/>
      <c r="F678" s="8"/>
      <c r="G678" s="43"/>
    </row>
    <row r="679" spans="1:7" ht="17.25" hidden="1">
      <c r="A679" s="20" t="s">
        <v>230</v>
      </c>
      <c r="B679" s="201"/>
      <c r="C679" s="201"/>
      <c r="D679" s="201"/>
      <c r="E679" s="201"/>
      <c r="F679" s="8">
        <f>F661-F677</f>
        <v>162448788394</v>
      </c>
      <c r="G679" s="43">
        <f>G661-G677</f>
        <v>200678999181</v>
      </c>
    </row>
    <row r="680" spans="1:7" ht="17.25" hidden="1">
      <c r="A680" s="20" t="s">
        <v>231</v>
      </c>
      <c r="B680" s="201"/>
      <c r="C680" s="201"/>
      <c r="D680" s="201"/>
      <c r="E680" s="201"/>
      <c r="F680" s="8">
        <f>F679+G672</f>
        <v>163779163823</v>
      </c>
      <c r="G680" s="8">
        <f>G679-G672</f>
        <v>199348623752</v>
      </c>
    </row>
    <row r="681" spans="1:7" ht="17.25" hidden="1">
      <c r="A681" s="20" t="s">
        <v>232</v>
      </c>
      <c r="B681" s="201"/>
      <c r="C681" s="201"/>
      <c r="D681" s="201"/>
      <c r="E681" s="201"/>
      <c r="F681" s="8">
        <v>75000000000</v>
      </c>
      <c r="G681" s="43">
        <v>90000000000</v>
      </c>
    </row>
    <row r="682" spans="1:7" ht="17.25" hidden="1">
      <c r="A682" s="20" t="s">
        <v>233</v>
      </c>
      <c r="B682" s="201"/>
      <c r="C682" s="201"/>
      <c r="D682" s="201"/>
      <c r="E682" s="201"/>
      <c r="F682" s="8">
        <f>F679+G672-F681-F683-F688-F691-F692</f>
        <v>39208995437</v>
      </c>
      <c r="G682" s="43">
        <v>0</v>
      </c>
    </row>
    <row r="683" spans="1:7" ht="17.25" hidden="1">
      <c r="A683" s="20" t="s">
        <v>234</v>
      </c>
      <c r="B683" s="201"/>
      <c r="C683" s="201"/>
      <c r="D683" s="201"/>
      <c r="E683" s="201"/>
      <c r="F683" s="8">
        <v>8420669078</v>
      </c>
      <c r="G683" s="43">
        <f>7552279188-61044679</f>
        <v>7491234509</v>
      </c>
    </row>
    <row r="684" spans="1:7" ht="17.25" hidden="1">
      <c r="A684" s="20" t="s">
        <v>235</v>
      </c>
      <c r="B684" s="201"/>
      <c r="C684" s="201"/>
      <c r="D684" s="201"/>
      <c r="E684" s="201"/>
      <c r="F684" s="8">
        <f>SUM(F685:F686)</f>
        <v>0</v>
      </c>
      <c r="G684" s="43">
        <f>SUM(G685:G686)</f>
        <v>0</v>
      </c>
    </row>
    <row r="685" spans="1:7" s="191" customFormat="1" ht="16.5" hidden="1">
      <c r="A685" s="153" t="s">
        <v>236</v>
      </c>
      <c r="B685" s="214"/>
      <c r="C685" s="214"/>
      <c r="D685" s="214"/>
      <c r="E685" s="214"/>
      <c r="F685" s="72">
        <v>0</v>
      </c>
      <c r="G685" s="215">
        <v>0</v>
      </c>
    </row>
    <row r="686" spans="1:7" s="191" customFormat="1" ht="16.5" hidden="1">
      <c r="A686" s="153" t="s">
        <v>237</v>
      </c>
      <c r="B686" s="214"/>
      <c r="C686" s="214"/>
      <c r="D686" s="214"/>
      <c r="E686" s="214"/>
      <c r="F686" s="72">
        <v>0</v>
      </c>
      <c r="G686" s="215">
        <v>0</v>
      </c>
    </row>
    <row r="687" spans="1:7" ht="17.25" hidden="1">
      <c r="A687" s="20" t="s">
        <v>238</v>
      </c>
      <c r="B687" s="201"/>
      <c r="C687" s="201"/>
      <c r="D687" s="201"/>
      <c r="E687" s="201"/>
      <c r="F687" s="8"/>
      <c r="G687" s="43"/>
    </row>
    <row r="688" spans="1:7" ht="17.25" hidden="1">
      <c r="A688" s="20" t="s">
        <v>239</v>
      </c>
      <c r="B688" s="201"/>
      <c r="C688" s="201"/>
      <c r="D688" s="201"/>
      <c r="E688" s="201"/>
      <c r="F688" s="8">
        <f>SUM(F689:F690)</f>
        <v>24308161151</v>
      </c>
      <c r="G688" s="43">
        <f>SUM(G689:G690)</f>
        <v>86874920225</v>
      </c>
    </row>
    <row r="689" spans="1:7" s="191" customFormat="1" ht="16.5" hidden="1">
      <c r="A689" s="153" t="s">
        <v>1154</v>
      </c>
      <c r="B689" s="214"/>
      <c r="C689" s="214"/>
      <c r="D689" s="214"/>
      <c r="E689" s="214"/>
      <c r="F689" s="72">
        <f>F676</f>
        <v>24308161151</v>
      </c>
      <c r="G689" s="215">
        <f>G676</f>
        <v>29681527841</v>
      </c>
    </row>
    <row r="690" spans="1:7" s="191" customFormat="1" ht="16.5" hidden="1">
      <c r="A690" s="153" t="s">
        <v>1155</v>
      </c>
      <c r="B690" s="214"/>
      <c r="C690" s="214"/>
      <c r="D690" s="214"/>
      <c r="E690" s="214"/>
      <c r="F690" s="72">
        <v>0</v>
      </c>
      <c r="G690" s="215">
        <f>G661-G672-G677-G681-G683-G689-G691-G692</f>
        <v>57193392384</v>
      </c>
    </row>
    <row r="691" spans="1:7" ht="17.25" hidden="1">
      <c r="A691" s="20" t="s">
        <v>240</v>
      </c>
      <c r="B691" s="201"/>
      <c r="C691" s="201"/>
      <c r="D691" s="201"/>
      <c r="E691" s="201"/>
      <c r="F691" s="8">
        <v>11227558771</v>
      </c>
      <c r="G691" s="43">
        <f>10069705584-81392905</f>
        <v>9988312679</v>
      </c>
    </row>
    <row r="692" spans="1:7" ht="17.25" hidden="1">
      <c r="A692" s="20" t="s">
        <v>241</v>
      </c>
      <c r="B692" s="201"/>
      <c r="C692" s="201"/>
      <c r="D692" s="201"/>
      <c r="E692" s="201"/>
      <c r="F692" s="8">
        <v>5613779386</v>
      </c>
      <c r="G692" s="43">
        <f>5034852792-40696453</f>
        <v>4994156339</v>
      </c>
    </row>
    <row r="693" spans="1:7" s="191" customFormat="1" ht="15">
      <c r="A693" s="233"/>
      <c r="B693" s="234"/>
      <c r="C693" s="234"/>
      <c r="D693" s="234"/>
      <c r="E693" s="234"/>
      <c r="F693" s="17"/>
      <c r="G693" s="235"/>
    </row>
    <row r="694" spans="1:7" s="191" customFormat="1" ht="15">
      <c r="A694" s="102"/>
      <c r="B694" s="237"/>
      <c r="C694" s="237"/>
      <c r="D694" s="237"/>
      <c r="E694" s="237"/>
      <c r="F694" s="24"/>
      <c r="G694" s="237"/>
    </row>
    <row r="695" ht="15.75">
      <c r="F695" s="100" t="s">
        <v>95</v>
      </c>
    </row>
    <row r="696" spans="1:7" s="6" customFormat="1" ht="15.75">
      <c r="A696" s="407" t="s">
        <v>417</v>
      </c>
      <c r="B696" s="407"/>
      <c r="C696" s="82"/>
      <c r="D696" s="98" t="s">
        <v>418</v>
      </c>
      <c r="E696" s="82"/>
      <c r="F696" s="98" t="s">
        <v>546</v>
      </c>
      <c r="G696" s="82"/>
    </row>
    <row r="697" ht="15"/>
    <row r="698" ht="15"/>
    <row r="699" ht="15"/>
    <row r="700" ht="15"/>
    <row r="701" spans="1:2" ht="15">
      <c r="A701" s="408" t="s">
        <v>814</v>
      </c>
      <c r="B701" s="408"/>
    </row>
    <row r="918" ht="15"/>
    <row r="919" ht="15"/>
    <row r="920" ht="15"/>
    <row r="921" ht="15"/>
    <row r="937" ht="15"/>
    <row r="938" ht="15"/>
    <row r="939" ht="15"/>
  </sheetData>
  <mergeCells count="25">
    <mergeCell ref="A354:A355"/>
    <mergeCell ref="E451:G451"/>
    <mergeCell ref="B451:D451"/>
    <mergeCell ref="A451:A454"/>
    <mergeCell ref="A317:A318"/>
    <mergeCell ref="F317:F318"/>
    <mergeCell ref="G317:G318"/>
    <mergeCell ref="A290:A291"/>
    <mergeCell ref="B290:B291"/>
    <mergeCell ref="F290:F291"/>
    <mergeCell ref="G290:G291"/>
    <mergeCell ref="F21:G21"/>
    <mergeCell ref="F22:G22"/>
    <mergeCell ref="F3:G3"/>
    <mergeCell ref="A6:G6"/>
    <mergeCell ref="A696:B696"/>
    <mergeCell ref="A701:B701"/>
    <mergeCell ref="F1:G1"/>
    <mergeCell ref="F2:G2"/>
    <mergeCell ref="G260:G261"/>
    <mergeCell ref="A4:G4"/>
    <mergeCell ref="A5:G5"/>
    <mergeCell ref="A260:A261"/>
    <mergeCell ref="F260:F261"/>
    <mergeCell ref="F20:G20"/>
  </mergeCells>
  <printOptions horizontalCentered="1"/>
  <pageMargins left="0" right="0" top="0.75" bottom="0.5" header="0" footer="0"/>
  <pageSetup horizontalDpi="600" verticalDpi="6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K129"/>
  <sheetViews>
    <sheetView zoomScale="75" zoomScaleNormal="75" workbookViewId="0" topLeftCell="A52">
      <selection activeCell="L63" sqref="L63"/>
    </sheetView>
  </sheetViews>
  <sheetFormatPr defaultColWidth="9" defaultRowHeight="15"/>
  <cols>
    <col min="1" max="1" width="47.5" style="64" customWidth="1"/>
    <col min="2" max="2" width="8.3984375" style="64" customWidth="1"/>
    <col min="3" max="3" width="7.3984375" style="64" customWidth="1"/>
    <col min="4" max="5" width="17.59765625" style="64" customWidth="1"/>
    <col min="6" max="6" width="20" style="96" hidden="1" customWidth="1"/>
    <col min="7" max="7" width="16.19921875" style="96" hidden="1" customWidth="1"/>
    <col min="8" max="8" width="17.8984375" style="64" hidden="1" customWidth="1"/>
    <col min="9" max="10" width="9" style="64" customWidth="1"/>
    <col min="11" max="11" width="18.09765625" style="64" hidden="1" customWidth="1"/>
    <col min="12" max="16384" width="9" style="64" customWidth="1"/>
  </cols>
  <sheetData>
    <row r="1" spans="1:5" ht="15">
      <c r="A1" s="117" t="s">
        <v>448</v>
      </c>
      <c r="D1" s="410" t="s">
        <v>49</v>
      </c>
      <c r="E1" s="410"/>
    </row>
    <row r="2" spans="1:7" s="31" customFormat="1" ht="15">
      <c r="A2" s="110" t="s">
        <v>405</v>
      </c>
      <c r="D2" s="410" t="s">
        <v>47</v>
      </c>
      <c r="E2" s="410"/>
      <c r="F2" s="92"/>
      <c r="G2" s="92"/>
    </row>
    <row r="3" spans="1:7" s="31" customFormat="1" ht="15">
      <c r="A3" s="110" t="s">
        <v>48</v>
      </c>
      <c r="D3" s="410" t="s">
        <v>45</v>
      </c>
      <c r="E3" s="410"/>
      <c r="F3" s="92"/>
      <c r="G3" s="92"/>
    </row>
    <row r="4" spans="1:7" s="31" customFormat="1" ht="33.75" customHeight="1">
      <c r="A4" s="108" t="s">
        <v>130</v>
      </c>
      <c r="B4" s="51"/>
      <c r="C4" s="51"/>
      <c r="D4" s="51"/>
      <c r="E4" s="51"/>
      <c r="F4" s="92"/>
      <c r="G4" s="92"/>
    </row>
    <row r="5" spans="1:7" s="53" customFormat="1" ht="24" customHeight="1">
      <c r="A5" s="109" t="s">
        <v>65</v>
      </c>
      <c r="B5" s="52"/>
      <c r="C5" s="52"/>
      <c r="D5" s="52"/>
      <c r="E5" s="52"/>
      <c r="F5" s="87"/>
      <c r="G5" s="87"/>
    </row>
    <row r="6" spans="1:7" s="22" customFormat="1" ht="19.5" customHeight="1">
      <c r="A6" s="417"/>
      <c r="B6" s="417"/>
      <c r="C6" s="417"/>
      <c r="D6" s="417"/>
      <c r="E6" s="417"/>
      <c r="F6" s="90"/>
      <c r="G6" s="90"/>
    </row>
    <row r="7" spans="1:8" s="53" customFormat="1" ht="19.5" customHeight="1">
      <c r="A7" s="54" t="s">
        <v>131</v>
      </c>
      <c r="B7" s="55" t="s">
        <v>132</v>
      </c>
      <c r="C7" s="55" t="s">
        <v>400</v>
      </c>
      <c r="D7" s="56" t="s">
        <v>779</v>
      </c>
      <c r="E7" s="56" t="s">
        <v>133</v>
      </c>
      <c r="F7" s="87" t="s">
        <v>667</v>
      </c>
      <c r="G7" s="87" t="s">
        <v>668</v>
      </c>
      <c r="H7" s="56" t="s">
        <v>712</v>
      </c>
    </row>
    <row r="8" spans="1:8" s="22" customFormat="1" ht="19.5" customHeight="1">
      <c r="A8" s="1">
        <v>1</v>
      </c>
      <c r="B8" s="1">
        <v>2</v>
      </c>
      <c r="C8" s="1">
        <v>3</v>
      </c>
      <c r="D8" s="57">
        <v>4</v>
      </c>
      <c r="E8" s="57">
        <v>5</v>
      </c>
      <c r="F8" s="90"/>
      <c r="G8" s="90"/>
      <c r="H8" s="57" t="s">
        <v>713</v>
      </c>
    </row>
    <row r="9" spans="1:8" s="22" customFormat="1" ht="19.5" customHeight="1">
      <c r="A9" s="58" t="s">
        <v>547</v>
      </c>
      <c r="B9" s="13">
        <v>100</v>
      </c>
      <c r="C9" s="13"/>
      <c r="D9" s="4">
        <f>D11+D14+D17+D24+D27</f>
        <v>305433871547</v>
      </c>
      <c r="E9" s="4">
        <f>E11+E14+E17+E24+E27</f>
        <v>209649036980</v>
      </c>
      <c r="F9" s="90"/>
      <c r="G9" s="90"/>
      <c r="H9" s="249">
        <f>H11+H14+H17+H24+H27</f>
        <v>95784834567</v>
      </c>
    </row>
    <row r="10" spans="1:8" s="22" customFormat="1" ht="19.5" customHeight="1">
      <c r="A10" s="2" t="s">
        <v>368</v>
      </c>
      <c r="B10" s="26"/>
      <c r="C10" s="26"/>
      <c r="D10" s="15"/>
      <c r="E10" s="15"/>
      <c r="F10" s="90"/>
      <c r="G10" s="90"/>
      <c r="H10" s="15"/>
    </row>
    <row r="11" spans="1:8" s="22" customFormat="1" ht="19.5" customHeight="1">
      <c r="A11" s="2" t="s">
        <v>371</v>
      </c>
      <c r="B11" s="14">
        <v>110</v>
      </c>
      <c r="C11" s="14"/>
      <c r="D11" s="5">
        <f>SUM(D12:D13)</f>
        <v>229440326263</v>
      </c>
      <c r="E11" s="5">
        <f>SUM(E12:E13)</f>
        <v>150076633193</v>
      </c>
      <c r="F11" s="90"/>
      <c r="G11" s="90"/>
      <c r="H11" s="150">
        <f>SUM(H12:H13)</f>
        <v>79363693070</v>
      </c>
    </row>
    <row r="12" spans="1:8" s="22" customFormat="1" ht="19.5" customHeight="1">
      <c r="A12" s="15" t="s">
        <v>548</v>
      </c>
      <c r="B12" s="26">
        <v>111</v>
      </c>
      <c r="C12" s="26" t="s">
        <v>11</v>
      </c>
      <c r="D12" s="70">
        <f>'BIEU 02-Bang CDSPS (R)'!L8+'BIEU 02-Bang CDSPS (R)'!L13+'BIEU 02-Bang CDSPS (R)'!L39-D13</f>
        <v>229440326263</v>
      </c>
      <c r="E12" s="8">
        <f>'BIEU 02-Bang CDSPS (R)'!D8+'BIEU 02-Bang CDSPS (R)'!D13+'BIEU 02-Bang CDSPS (R)'!D39</f>
        <v>136962633193</v>
      </c>
      <c r="F12" s="90" t="s">
        <v>669</v>
      </c>
      <c r="G12" s="90"/>
      <c r="H12" s="88">
        <f>D12-E12</f>
        <v>92477693070</v>
      </c>
    </row>
    <row r="13" spans="1:8" s="22" customFormat="1" ht="19.5" customHeight="1">
      <c r="A13" s="15" t="s">
        <v>549</v>
      </c>
      <c r="B13" s="26">
        <v>112</v>
      </c>
      <c r="C13" s="26" t="s">
        <v>12</v>
      </c>
      <c r="D13" s="8"/>
      <c r="E13" s="8">
        <v>13114000000</v>
      </c>
      <c r="F13" s="90" t="s">
        <v>372</v>
      </c>
      <c r="G13" s="90"/>
      <c r="H13" s="8">
        <f aca="true" t="shared" si="0" ref="H13:H76">D13-E13</f>
        <v>-13114000000</v>
      </c>
    </row>
    <row r="14" spans="1:8" s="22" customFormat="1" ht="19.5" customHeight="1">
      <c r="A14" s="2" t="s">
        <v>384</v>
      </c>
      <c r="B14" s="14">
        <v>120</v>
      </c>
      <c r="C14" s="14"/>
      <c r="D14" s="5">
        <f>SUM(D15:D16)</f>
        <v>25096491150</v>
      </c>
      <c r="E14" s="5">
        <f>SUM(E15:E16)</f>
        <v>8650000000</v>
      </c>
      <c r="F14" s="90"/>
      <c r="G14" s="90"/>
      <c r="H14" s="150">
        <f>SUM(H15:H16)</f>
        <v>16446491150</v>
      </c>
    </row>
    <row r="15" spans="1:8" s="22" customFormat="1" ht="19.5" customHeight="1">
      <c r="A15" s="15" t="s">
        <v>550</v>
      </c>
      <c r="B15" s="26">
        <v>121</v>
      </c>
      <c r="C15" s="26"/>
      <c r="D15" s="70">
        <f>'BIEU 02-Bang CDSPS (R)'!L43+'BIEU 02-Bang CDSPS (R)'!L47</f>
        <v>25096491150</v>
      </c>
      <c r="E15" s="8">
        <f>'BIEU 02-Bang CDSPS (R)'!D43+'BIEU 02-Bang CDSPS (R)'!D47-E13</f>
        <v>8650000000</v>
      </c>
      <c r="F15" s="90" t="s">
        <v>670</v>
      </c>
      <c r="G15" s="90"/>
      <c r="H15" s="88">
        <f t="shared" si="0"/>
        <v>16446491150</v>
      </c>
    </row>
    <row r="16" spans="1:8" s="22" customFormat="1" ht="19.5" customHeight="1">
      <c r="A16" s="15" t="s">
        <v>551</v>
      </c>
      <c r="B16" s="26">
        <v>129</v>
      </c>
      <c r="C16" s="26"/>
      <c r="D16" s="15"/>
      <c r="E16" s="15"/>
      <c r="F16" s="90"/>
      <c r="G16" s="90">
        <v>129</v>
      </c>
      <c r="H16" s="8">
        <f t="shared" si="0"/>
        <v>0</v>
      </c>
    </row>
    <row r="17" spans="1:8" s="22" customFormat="1" ht="19.5" customHeight="1">
      <c r="A17" s="2" t="s">
        <v>64</v>
      </c>
      <c r="B17" s="14">
        <v>130</v>
      </c>
      <c r="C17" s="14"/>
      <c r="D17" s="5">
        <f>SUM(D18:D23)</f>
        <v>10294049980</v>
      </c>
      <c r="E17" s="5">
        <f>SUM(E18:E23)</f>
        <v>22853943721</v>
      </c>
      <c r="F17" s="90"/>
      <c r="G17" s="90"/>
      <c r="H17" s="150">
        <f>SUM(H18:H23)</f>
        <v>-12559893741</v>
      </c>
    </row>
    <row r="18" spans="1:8" s="22" customFormat="1" ht="19.5" customHeight="1">
      <c r="A18" s="15" t="s">
        <v>360</v>
      </c>
      <c r="B18" s="26">
        <v>131</v>
      </c>
      <c r="C18" s="26"/>
      <c r="D18" s="70">
        <f>'BIEU 02-Bang CDSPS (R)'!L52</f>
        <v>3564390982</v>
      </c>
      <c r="E18" s="8">
        <f>'BIEU 02-Bang CDSPS (R)'!D52</f>
        <v>7756171946</v>
      </c>
      <c r="F18" s="90">
        <v>131</v>
      </c>
      <c r="G18" s="90"/>
      <c r="H18" s="8">
        <f t="shared" si="0"/>
        <v>-4191780964</v>
      </c>
    </row>
    <row r="19" spans="1:8" s="22" customFormat="1" ht="19.5" customHeight="1">
      <c r="A19" s="15" t="s">
        <v>134</v>
      </c>
      <c r="B19" s="26">
        <v>132</v>
      </c>
      <c r="C19" s="26"/>
      <c r="D19" s="70">
        <f>'BIEU 02-Bang CDSPS (R)'!L156</f>
        <v>3210358438</v>
      </c>
      <c r="E19" s="8">
        <f>'BIEU 02-Bang CDSPS (R)'!D156</f>
        <v>3371060021</v>
      </c>
      <c r="F19" s="90">
        <v>331</v>
      </c>
      <c r="G19" s="90"/>
      <c r="H19" s="8">
        <f t="shared" si="0"/>
        <v>-160701583</v>
      </c>
    </row>
    <row r="20" spans="1:8" s="22" customFormat="1" ht="19.5" customHeight="1">
      <c r="A20" s="15" t="s">
        <v>68</v>
      </c>
      <c r="B20" s="26">
        <v>133</v>
      </c>
      <c r="C20" s="26"/>
      <c r="D20" s="70">
        <v>0</v>
      </c>
      <c r="E20" s="70">
        <v>0</v>
      </c>
      <c r="F20" s="90">
        <v>136.336</v>
      </c>
      <c r="G20" s="90"/>
      <c r="H20" s="88">
        <f t="shared" si="0"/>
        <v>0</v>
      </c>
    </row>
    <row r="21" spans="1:8" s="22" customFormat="1" ht="19.5" customHeight="1">
      <c r="A21" s="15" t="s">
        <v>361</v>
      </c>
      <c r="B21" s="26">
        <v>134</v>
      </c>
      <c r="C21" s="26"/>
      <c r="D21" s="8"/>
      <c r="E21" s="8"/>
      <c r="F21" s="90">
        <v>337</v>
      </c>
      <c r="G21" s="90"/>
      <c r="H21" s="8">
        <f t="shared" si="0"/>
        <v>0</v>
      </c>
    </row>
    <row r="22" spans="1:8" s="22" customFormat="1" ht="19.5" customHeight="1">
      <c r="A22" s="15" t="s">
        <v>362</v>
      </c>
      <c r="B22" s="26">
        <v>135</v>
      </c>
      <c r="C22" s="26" t="s">
        <v>13</v>
      </c>
      <c r="D22" s="70">
        <f>3205717966-685800+314268394</f>
        <v>3519300560</v>
      </c>
      <c r="E22" s="70">
        <f>11714048109+2663645+10000000</f>
        <v>11726711754</v>
      </c>
      <c r="F22" s="90" t="s">
        <v>374</v>
      </c>
      <c r="G22" s="90"/>
      <c r="H22" s="88">
        <f t="shared" si="0"/>
        <v>-8207411194</v>
      </c>
    </row>
    <row r="23" spans="1:8" s="22" customFormat="1" ht="19.5" customHeight="1">
      <c r="A23" s="15" t="s">
        <v>69</v>
      </c>
      <c r="B23" s="26">
        <v>139</v>
      </c>
      <c r="C23" s="26"/>
      <c r="D23" s="88">
        <f>-'BIEU 02-Bang CDSPS (R)'!N69</f>
        <v>0</v>
      </c>
      <c r="E23" s="88">
        <f>-'BIEU 02-Bang CDSPS (R)'!F69</f>
        <v>0</v>
      </c>
      <c r="F23" s="90"/>
      <c r="G23" s="90">
        <v>139</v>
      </c>
      <c r="H23" s="8">
        <f t="shared" si="0"/>
        <v>0</v>
      </c>
    </row>
    <row r="24" spans="1:8" s="22" customFormat="1" ht="19.5" customHeight="1">
      <c r="A24" s="2" t="s">
        <v>385</v>
      </c>
      <c r="B24" s="14">
        <v>140</v>
      </c>
      <c r="C24" s="14"/>
      <c r="D24" s="5">
        <f>SUM(D25:D26)</f>
        <v>39168104136</v>
      </c>
      <c r="E24" s="5">
        <f>SUM(E25:E26)</f>
        <v>27174928116</v>
      </c>
      <c r="F24" s="90"/>
      <c r="G24" s="90"/>
      <c r="H24" s="150">
        <f>SUM(H25:H26)</f>
        <v>11993176020</v>
      </c>
    </row>
    <row r="25" spans="1:8" s="22" customFormat="1" ht="19.5" customHeight="1">
      <c r="A25" s="15" t="s">
        <v>363</v>
      </c>
      <c r="B25" s="26">
        <v>141</v>
      </c>
      <c r="C25" s="26" t="s">
        <v>14</v>
      </c>
      <c r="D25" s="70">
        <f>'BIEU 02-Bang CDSPS (R)'!L77+'BIEU 02-Bang CDSPS (R)'!L79+'BIEU 02-Bang CDSPS (R)'!L85+'BIEU 02-Bang CDSPS (R)'!L88+'BIEU 02-Bang CDSPS (R)'!L98+'BIEU 02-Bang CDSPS (R)'!L105+'BIEU 02-Bang CDSPS (R)'!L109</f>
        <v>39168104136</v>
      </c>
      <c r="E25" s="8">
        <f>'BIEU 02-Bang CDSPS (R)'!D77+'BIEU 02-Bang CDSPS (R)'!D79+'BIEU 02-Bang CDSPS (R)'!D85+'BIEU 02-Bang CDSPS (R)'!D88+'BIEU 02-Bang CDSPS (R)'!D98+'BIEU 02-Bang CDSPS (R)'!D105+'BIEU 02-Bang CDSPS (R)'!D109</f>
        <v>28394678495</v>
      </c>
      <c r="F25" s="90" t="s">
        <v>44</v>
      </c>
      <c r="G25" s="90"/>
      <c r="H25" s="88">
        <f t="shared" si="0"/>
        <v>10773425641</v>
      </c>
    </row>
    <row r="26" spans="1:8" s="22" customFormat="1" ht="19.5" customHeight="1">
      <c r="A26" s="15" t="s">
        <v>364</v>
      </c>
      <c r="B26" s="26">
        <v>149</v>
      </c>
      <c r="C26" s="26"/>
      <c r="D26" s="88">
        <f>-'BIEU 02-Bang CDSPS (R)'!N113</f>
        <v>0</v>
      </c>
      <c r="E26" s="88">
        <f>-'BIEU 02-Bang CDSPS (R)'!F113</f>
        <v>-1219750379</v>
      </c>
      <c r="F26" s="90"/>
      <c r="G26" s="90">
        <v>159</v>
      </c>
      <c r="H26" s="8">
        <f t="shared" si="0"/>
        <v>1219750379</v>
      </c>
    </row>
    <row r="27" spans="1:8" s="22" customFormat="1" ht="19.5" customHeight="1">
      <c r="A27" s="2" t="s">
        <v>370</v>
      </c>
      <c r="B27" s="14">
        <v>150</v>
      </c>
      <c r="C27" s="14"/>
      <c r="D27" s="5">
        <f>SUM(D28:D31)</f>
        <v>1434900018</v>
      </c>
      <c r="E27" s="5">
        <f>SUM(E28:E31)</f>
        <v>893531950</v>
      </c>
      <c r="F27" s="90"/>
      <c r="G27" s="90"/>
      <c r="H27" s="150">
        <f>SUM(H28:H31)</f>
        <v>541368068</v>
      </c>
    </row>
    <row r="28" spans="1:8" s="22" customFormat="1" ht="19.5" customHeight="1">
      <c r="A28" s="15" t="s">
        <v>365</v>
      </c>
      <c r="B28" s="26">
        <v>151</v>
      </c>
      <c r="C28" s="26"/>
      <c r="D28" s="70">
        <f>'BIEU 02-Bang CDSPS (R)'!L73</f>
        <v>0</v>
      </c>
      <c r="E28" s="8">
        <f>'BIEU 02-Bang CDSPS (R)'!D73</f>
        <v>0</v>
      </c>
      <c r="F28" s="90">
        <v>142</v>
      </c>
      <c r="G28" s="90"/>
      <c r="H28" s="88">
        <f t="shared" si="0"/>
        <v>0</v>
      </c>
    </row>
    <row r="29" spans="1:8" s="22" customFormat="1" ht="19.5" customHeight="1">
      <c r="A29" s="15" t="s">
        <v>70</v>
      </c>
      <c r="B29" s="26">
        <v>152</v>
      </c>
      <c r="C29" s="26"/>
      <c r="D29" s="8">
        <f>'BIEU 02-Bang CDSPS (R)'!L55</f>
        <v>454449338</v>
      </c>
      <c r="E29" s="8">
        <f>'BIEU 02-Bang CDSPS (R)'!D55</f>
        <v>0</v>
      </c>
      <c r="F29" s="90">
        <v>133</v>
      </c>
      <c r="G29" s="90"/>
      <c r="H29" s="8">
        <f t="shared" si="0"/>
        <v>454449338</v>
      </c>
    </row>
    <row r="30" spans="1:8" s="22" customFormat="1" ht="19.5" customHeight="1">
      <c r="A30" s="15" t="s">
        <v>71</v>
      </c>
      <c r="B30" s="26">
        <v>154</v>
      </c>
      <c r="C30" s="26" t="s">
        <v>15</v>
      </c>
      <c r="D30" s="70">
        <f>'BIEU 02-Bang CDSPS (R)'!L160+'BIEU 02-Bang CDSPS (R)'!L161+'BIEU 02-Bang CDSPS (R)'!L162+'BIEU 02-Bang CDSPS (R)'!L163+'BIEU 02-Bang CDSPS (R)'!L164+'BIEU 02-Bang CDSPS (R)'!L165+'BIEU 02-Bang CDSPS (R)'!L166</f>
        <v>0</v>
      </c>
      <c r="E30" s="8">
        <f>'BIEU 02-Bang CDSPS (R)'!D160+'BIEU 02-Bang CDSPS (R)'!D161+'BIEU 02-Bang CDSPS (R)'!D162++'BIEU 02-Bang CDSPS (R)'!D163+'BIEU 02-Bang CDSPS (R)'!D164+'BIEU 02-Bang CDSPS (R)'!D165+'BIEU 02-Bang CDSPS (R)'!D166</f>
        <v>0</v>
      </c>
      <c r="F30" s="90">
        <v>333</v>
      </c>
      <c r="G30" s="90"/>
      <c r="H30" s="88">
        <f t="shared" si="0"/>
        <v>0</v>
      </c>
    </row>
    <row r="31" spans="1:8" s="22" customFormat="1" ht="19.5" customHeight="1">
      <c r="A31" s="15" t="s">
        <v>72</v>
      </c>
      <c r="B31" s="26">
        <v>158</v>
      </c>
      <c r="C31" s="26"/>
      <c r="D31" s="8">
        <f>'BIEU 02-Bang CDSPS (R)'!L71</f>
        <v>980450680</v>
      </c>
      <c r="E31" s="8">
        <f>'BIEU 02-Bang CDSPS (R)'!D71</f>
        <v>893531950</v>
      </c>
      <c r="F31" s="90" t="s">
        <v>373</v>
      </c>
      <c r="G31" s="90"/>
      <c r="H31" s="8">
        <f t="shared" si="0"/>
        <v>86918730</v>
      </c>
    </row>
    <row r="32" spans="1:8" s="22" customFormat="1" ht="19.5" customHeight="1">
      <c r="A32" s="2" t="s">
        <v>366</v>
      </c>
      <c r="B32" s="14">
        <v>200</v>
      </c>
      <c r="C32" s="14"/>
      <c r="D32" s="5">
        <f>D34+D40+D51+D54+D59</f>
        <v>486110477141</v>
      </c>
      <c r="E32" s="5">
        <f>E34+E40+E51+E54+E59</f>
        <v>451023966805</v>
      </c>
      <c r="F32" s="90"/>
      <c r="G32" s="90"/>
      <c r="H32" s="5">
        <f>H34+H40+H51+H54+H59</f>
        <v>35086510336</v>
      </c>
    </row>
    <row r="33" spans="1:8" s="22" customFormat="1" ht="19.5" customHeight="1">
      <c r="A33" s="2" t="s">
        <v>367</v>
      </c>
      <c r="B33" s="26"/>
      <c r="C33" s="26"/>
      <c r="D33" s="15"/>
      <c r="E33" s="15"/>
      <c r="F33" s="90"/>
      <c r="G33" s="90"/>
      <c r="H33" s="8">
        <f t="shared" si="0"/>
        <v>0</v>
      </c>
    </row>
    <row r="34" spans="1:8" s="22" customFormat="1" ht="19.5" customHeight="1">
      <c r="A34" s="2" t="s">
        <v>483</v>
      </c>
      <c r="B34" s="14">
        <v>210</v>
      </c>
      <c r="C34" s="14"/>
      <c r="D34" s="5">
        <f>SUM(D35:D39)</f>
        <v>0</v>
      </c>
      <c r="E34" s="5">
        <f>SUM(E35:E39)</f>
        <v>0</v>
      </c>
      <c r="F34" s="90"/>
      <c r="G34" s="90"/>
      <c r="H34" s="5">
        <f>SUM(H35:H39)</f>
        <v>0</v>
      </c>
    </row>
    <row r="35" spans="1:8" s="22" customFormat="1" ht="19.5" customHeight="1">
      <c r="A35" s="15" t="s">
        <v>386</v>
      </c>
      <c r="B35" s="26">
        <v>211</v>
      </c>
      <c r="C35" s="26"/>
      <c r="D35" s="8"/>
      <c r="E35" s="8"/>
      <c r="F35" s="90" t="s">
        <v>375</v>
      </c>
      <c r="G35" s="90"/>
      <c r="H35" s="8">
        <f t="shared" si="0"/>
        <v>0</v>
      </c>
    </row>
    <row r="36" spans="1:8" s="22" customFormat="1" ht="19.5" customHeight="1">
      <c r="A36" s="15" t="s">
        <v>73</v>
      </c>
      <c r="B36" s="26">
        <v>212</v>
      </c>
      <c r="C36" s="26"/>
      <c r="D36" s="8">
        <f>'BIEU 02-Bang CDSPS (R)'!L61</f>
        <v>0</v>
      </c>
      <c r="E36" s="8">
        <f>'BIEU 02-Bang CDSPS (R)'!D61</f>
        <v>0</v>
      </c>
      <c r="F36" s="90">
        <v>1361</v>
      </c>
      <c r="G36" s="90"/>
      <c r="H36" s="8">
        <f t="shared" si="0"/>
        <v>0</v>
      </c>
    </row>
    <row r="37" spans="1:8" s="22" customFormat="1" ht="19.5" customHeight="1">
      <c r="A37" s="15" t="s">
        <v>74</v>
      </c>
      <c r="B37" s="26">
        <v>213</v>
      </c>
      <c r="C37" s="26" t="s">
        <v>16</v>
      </c>
      <c r="D37" s="8"/>
      <c r="E37" s="8"/>
      <c r="F37" s="90" t="s">
        <v>376</v>
      </c>
      <c r="G37" s="90"/>
      <c r="H37" s="8">
        <f t="shared" si="0"/>
        <v>0</v>
      </c>
    </row>
    <row r="38" spans="1:8" s="22" customFormat="1" ht="19.5" customHeight="1">
      <c r="A38" s="15" t="s">
        <v>387</v>
      </c>
      <c r="B38" s="26">
        <v>218</v>
      </c>
      <c r="C38" s="26" t="s">
        <v>17</v>
      </c>
      <c r="D38" s="8">
        <f>'BIEU 02-Bang CDSPS (R)'!L147</f>
        <v>0</v>
      </c>
      <c r="E38" s="8">
        <f>'BIEU 02-Bang CDSPS (R)'!D147</f>
        <v>0</v>
      </c>
      <c r="F38" s="90" t="s">
        <v>377</v>
      </c>
      <c r="G38" s="90"/>
      <c r="H38" s="8">
        <f t="shared" si="0"/>
        <v>0</v>
      </c>
    </row>
    <row r="39" spans="1:8" s="22" customFormat="1" ht="19.5" customHeight="1">
      <c r="A39" s="15" t="s">
        <v>388</v>
      </c>
      <c r="B39" s="26">
        <v>219</v>
      </c>
      <c r="C39" s="26"/>
      <c r="D39" s="15"/>
      <c r="E39" s="15"/>
      <c r="F39" s="90"/>
      <c r="G39" s="90" t="s">
        <v>378</v>
      </c>
      <c r="H39" s="8">
        <f t="shared" si="0"/>
        <v>0</v>
      </c>
    </row>
    <row r="40" spans="1:8" s="22" customFormat="1" ht="19.5" customHeight="1">
      <c r="A40" s="2" t="s">
        <v>369</v>
      </c>
      <c r="B40" s="14">
        <v>220</v>
      </c>
      <c r="C40" s="14"/>
      <c r="D40" s="5">
        <f>D41+D44+D47+D50</f>
        <v>323588476665</v>
      </c>
      <c r="E40" s="5">
        <f>E41+E44+E47+E50</f>
        <v>316922181694</v>
      </c>
      <c r="F40" s="90"/>
      <c r="G40" s="90"/>
      <c r="H40" s="150">
        <f>H41+H44+H47+H50</f>
        <v>6666294971</v>
      </c>
    </row>
    <row r="41" spans="1:8" s="22" customFormat="1" ht="19.5" customHeight="1">
      <c r="A41" s="15" t="s">
        <v>135</v>
      </c>
      <c r="B41" s="26">
        <v>221</v>
      </c>
      <c r="C41" s="26" t="s">
        <v>18</v>
      </c>
      <c r="D41" s="8">
        <f>SUM(D42:D43)</f>
        <v>259820490677</v>
      </c>
      <c r="E41" s="8">
        <f>SUM(E42:E43)</f>
        <v>256425585125</v>
      </c>
      <c r="F41" s="90"/>
      <c r="G41" s="90"/>
      <c r="H41" s="88">
        <f>SUM(H42:H43)</f>
        <v>3394905552</v>
      </c>
    </row>
    <row r="42" spans="1:8" s="22" customFormat="1" ht="19.5" customHeight="1">
      <c r="A42" s="15" t="s">
        <v>136</v>
      </c>
      <c r="B42" s="26">
        <v>222</v>
      </c>
      <c r="C42" s="26"/>
      <c r="D42" s="70">
        <f>'BIEU 02-Bang CDSPS (R)'!L118</f>
        <v>434411279221</v>
      </c>
      <c r="E42" s="8">
        <f>'BIEU 02-Bang CDSPS (R)'!D118+'BIEU 02-Bang CDSPS (R)'!D122</f>
        <v>421479782097</v>
      </c>
      <c r="F42" s="90">
        <v>211</v>
      </c>
      <c r="G42" s="90"/>
      <c r="H42" s="8">
        <f t="shared" si="0"/>
        <v>12931497124</v>
      </c>
    </row>
    <row r="43" spans="1:8" s="22" customFormat="1" ht="19.5" customHeight="1">
      <c r="A43" s="16" t="s">
        <v>137</v>
      </c>
      <c r="B43" s="85">
        <v>223</v>
      </c>
      <c r="C43" s="85"/>
      <c r="D43" s="149">
        <f>-'BIEU 02-Bang CDSPS (R)'!N124</f>
        <v>-174590788544</v>
      </c>
      <c r="E43" s="143">
        <f>-'BIEU 02-Bang CDSPS (R)'!F124</f>
        <v>-165054196972</v>
      </c>
      <c r="F43" s="90"/>
      <c r="G43" s="90">
        <v>2141</v>
      </c>
      <c r="H43" s="143">
        <f t="shared" si="0"/>
        <v>-9536591572</v>
      </c>
    </row>
    <row r="44" spans="1:8" s="22" customFormat="1" ht="19.5" customHeight="1">
      <c r="A44" s="25" t="s">
        <v>138</v>
      </c>
      <c r="B44" s="131">
        <v>224</v>
      </c>
      <c r="C44" s="131" t="s">
        <v>19</v>
      </c>
      <c r="D44" s="25"/>
      <c r="E44" s="25"/>
      <c r="F44" s="90"/>
      <c r="G44" s="90"/>
      <c r="H44" s="23">
        <f t="shared" si="0"/>
        <v>0</v>
      </c>
    </row>
    <row r="45" spans="1:8" s="22" customFormat="1" ht="19.5" customHeight="1">
      <c r="A45" s="15" t="s">
        <v>136</v>
      </c>
      <c r="B45" s="26">
        <v>225</v>
      </c>
      <c r="C45" s="26"/>
      <c r="D45" s="8">
        <f>'BIEU 02-Bang CDSPS (R)'!L120</f>
        <v>0</v>
      </c>
      <c r="E45" s="8">
        <f>'BIEU 02-Bang CDSPS (R)'!D120</f>
        <v>0</v>
      </c>
      <c r="F45" s="90">
        <v>212</v>
      </c>
      <c r="G45" s="90"/>
      <c r="H45" s="8">
        <f t="shared" si="0"/>
        <v>0</v>
      </c>
    </row>
    <row r="46" spans="1:8" s="22" customFormat="1" ht="19.5" customHeight="1">
      <c r="A46" s="15" t="s">
        <v>137</v>
      </c>
      <c r="B46" s="26">
        <v>226</v>
      </c>
      <c r="C46" s="26"/>
      <c r="D46" s="15"/>
      <c r="E46" s="15"/>
      <c r="F46" s="90"/>
      <c r="G46" s="90">
        <v>2142</v>
      </c>
      <c r="H46" s="8">
        <f t="shared" si="0"/>
        <v>0</v>
      </c>
    </row>
    <row r="47" spans="1:8" s="22" customFormat="1" ht="19.5" customHeight="1">
      <c r="A47" s="15" t="s">
        <v>139</v>
      </c>
      <c r="B47" s="26">
        <v>227</v>
      </c>
      <c r="C47" s="26" t="s">
        <v>20</v>
      </c>
      <c r="D47" s="8">
        <f>SUM(D48:D49)</f>
        <v>0</v>
      </c>
      <c r="E47" s="8">
        <f>SUM(E48:E49)</f>
        <v>0</v>
      </c>
      <c r="F47" s="90"/>
      <c r="G47" s="90"/>
      <c r="H47" s="8">
        <f t="shared" si="0"/>
        <v>0</v>
      </c>
    </row>
    <row r="48" spans="1:8" s="22" customFormat="1" ht="19.5" customHeight="1">
      <c r="A48" s="15" t="s">
        <v>136</v>
      </c>
      <c r="B48" s="26">
        <v>228</v>
      </c>
      <c r="C48" s="26"/>
      <c r="D48" s="70">
        <f>'BIEU 02-Bang CDSPS (R)'!L122</f>
        <v>0</v>
      </c>
      <c r="E48" s="8">
        <v>0</v>
      </c>
      <c r="F48" s="90">
        <v>213</v>
      </c>
      <c r="G48" s="90"/>
      <c r="H48" s="8">
        <f t="shared" si="0"/>
        <v>0</v>
      </c>
    </row>
    <row r="49" spans="1:8" s="22" customFormat="1" ht="19.5" customHeight="1">
      <c r="A49" s="15" t="s">
        <v>137</v>
      </c>
      <c r="B49" s="26">
        <v>229</v>
      </c>
      <c r="C49" s="26"/>
      <c r="D49" s="15"/>
      <c r="E49" s="15"/>
      <c r="F49" s="90"/>
      <c r="G49" s="90">
        <v>2143</v>
      </c>
      <c r="H49" s="8">
        <f t="shared" si="0"/>
        <v>0</v>
      </c>
    </row>
    <row r="50" spans="1:8" s="22" customFormat="1" ht="19.5" customHeight="1">
      <c r="A50" s="15" t="s">
        <v>389</v>
      </c>
      <c r="B50" s="26">
        <v>230</v>
      </c>
      <c r="C50" s="26" t="s">
        <v>21</v>
      </c>
      <c r="D50" s="70">
        <f>'BIEU 02-Bang CDSPS (R)'!L141</f>
        <v>63767985988</v>
      </c>
      <c r="E50" s="8">
        <f>'BIEU 02-Bang CDSPS (R)'!D141</f>
        <v>60496596569</v>
      </c>
      <c r="F50" s="90">
        <v>241</v>
      </c>
      <c r="G50" s="90"/>
      <c r="H50" s="8">
        <f t="shared" si="0"/>
        <v>3271389419</v>
      </c>
    </row>
    <row r="51" spans="1:8" s="45" customFormat="1" ht="19.5" customHeight="1">
      <c r="A51" s="2" t="s">
        <v>391</v>
      </c>
      <c r="B51" s="14">
        <v>240</v>
      </c>
      <c r="C51" s="26" t="s">
        <v>22</v>
      </c>
      <c r="D51" s="5">
        <f>SUM(D52:D53)</f>
        <v>0</v>
      </c>
      <c r="E51" s="5">
        <f>SUM(E52:E53)</f>
        <v>0</v>
      </c>
      <c r="F51" s="50"/>
      <c r="G51" s="50"/>
      <c r="H51" s="5">
        <f>SUM(H52:H53)</f>
        <v>0</v>
      </c>
    </row>
    <row r="52" spans="1:8" s="22" customFormat="1" ht="19.5" customHeight="1">
      <c r="A52" s="15" t="s">
        <v>136</v>
      </c>
      <c r="B52" s="26">
        <v>241</v>
      </c>
      <c r="C52" s="26"/>
      <c r="D52" s="15"/>
      <c r="E52" s="15"/>
      <c r="F52" s="90">
        <v>217</v>
      </c>
      <c r="G52" s="90"/>
      <c r="H52" s="8">
        <f t="shared" si="0"/>
        <v>0</v>
      </c>
    </row>
    <row r="53" spans="1:8" s="22" customFormat="1" ht="19.5" customHeight="1">
      <c r="A53" s="15" t="s">
        <v>137</v>
      </c>
      <c r="B53" s="26">
        <v>242</v>
      </c>
      <c r="C53" s="26"/>
      <c r="D53" s="15"/>
      <c r="E53" s="15"/>
      <c r="F53" s="90"/>
      <c r="G53" s="90">
        <v>2147</v>
      </c>
      <c r="H53" s="8">
        <f t="shared" si="0"/>
        <v>0</v>
      </c>
    </row>
    <row r="54" spans="1:8" s="22" customFormat="1" ht="19.5" customHeight="1">
      <c r="A54" s="2" t="s">
        <v>390</v>
      </c>
      <c r="B54" s="14">
        <v>250</v>
      </c>
      <c r="C54" s="14"/>
      <c r="D54" s="5">
        <f>SUM(D55:D58)</f>
        <v>129481952609</v>
      </c>
      <c r="E54" s="5">
        <f>SUM(E55:E58)</f>
        <v>102031952609</v>
      </c>
      <c r="F54" s="90"/>
      <c r="G54" s="90"/>
      <c r="H54" s="5">
        <f>SUM(H55:H58)</f>
        <v>27450000000</v>
      </c>
    </row>
    <row r="55" spans="1:8" s="22" customFormat="1" ht="19.5" customHeight="1">
      <c r="A55" s="15" t="s">
        <v>392</v>
      </c>
      <c r="B55" s="26">
        <v>251</v>
      </c>
      <c r="C55" s="26"/>
      <c r="D55" s="8"/>
      <c r="E55" s="8"/>
      <c r="F55" s="90">
        <v>221</v>
      </c>
      <c r="G55" s="90"/>
      <c r="H55" s="8">
        <f t="shared" si="0"/>
        <v>0</v>
      </c>
    </row>
    <row r="56" spans="1:8" s="22" customFormat="1" ht="19.5" customHeight="1">
      <c r="A56" s="15" t="s">
        <v>393</v>
      </c>
      <c r="B56" s="26">
        <v>252</v>
      </c>
      <c r="C56" s="26"/>
      <c r="D56" s="8">
        <f>'BIEU 02-Bang CDSPS (R)'!L132</f>
        <v>10500000000</v>
      </c>
      <c r="E56" s="8">
        <f>'BIEU 02-Bang CDSPS (R)'!D132</f>
        <v>1350000000</v>
      </c>
      <c r="F56" s="90" t="s">
        <v>671</v>
      </c>
      <c r="G56" s="90"/>
      <c r="H56" s="8">
        <f t="shared" si="0"/>
        <v>9150000000</v>
      </c>
    </row>
    <row r="57" spans="1:8" s="22" customFormat="1" ht="19.5" customHeight="1">
      <c r="A57" s="15" t="s">
        <v>140</v>
      </c>
      <c r="B57" s="26">
        <v>258</v>
      </c>
      <c r="C57" s="26" t="s">
        <v>23</v>
      </c>
      <c r="D57" s="70">
        <f>'BIEU 02-Bang CDSPS (R)'!L134</f>
        <v>119468953550</v>
      </c>
      <c r="E57" s="8">
        <f>'BIEU 02-Bang CDSPS (R)'!D134</f>
        <v>101168953550</v>
      </c>
      <c r="F57" s="90">
        <v>228</v>
      </c>
      <c r="G57" s="90"/>
      <c r="H57" s="8">
        <f t="shared" si="0"/>
        <v>18300000000</v>
      </c>
    </row>
    <row r="58" spans="1:8" s="22" customFormat="1" ht="19.5" customHeight="1">
      <c r="A58" s="15" t="s">
        <v>394</v>
      </c>
      <c r="B58" s="26">
        <v>259</v>
      </c>
      <c r="C58" s="26"/>
      <c r="D58" s="88">
        <f>-'BIEU 02-Bang CDSPS (R)'!N139</f>
        <v>-487000941</v>
      </c>
      <c r="E58" s="88">
        <f>-'BIEU 02-Bang CDSPS (R)'!F139</f>
        <v>-487000941</v>
      </c>
      <c r="F58" s="90"/>
      <c r="G58" s="90"/>
      <c r="H58" s="8">
        <f t="shared" si="0"/>
        <v>0</v>
      </c>
    </row>
    <row r="59" spans="1:8" s="45" customFormat="1" ht="19.5" customHeight="1">
      <c r="A59" s="2" t="s">
        <v>395</v>
      </c>
      <c r="B59" s="14">
        <v>260</v>
      </c>
      <c r="C59" s="14"/>
      <c r="D59" s="5">
        <f>SUM(D60:D63)</f>
        <v>33040047867</v>
      </c>
      <c r="E59" s="5">
        <f>SUM(E60:E63)</f>
        <v>32069832502</v>
      </c>
      <c r="F59" s="50"/>
      <c r="G59" s="50"/>
      <c r="H59" s="150">
        <f>SUM(H60:H63)</f>
        <v>970215365</v>
      </c>
    </row>
    <row r="60" spans="1:8" s="22" customFormat="1" ht="19.5" customHeight="1">
      <c r="A60" s="15" t="s">
        <v>396</v>
      </c>
      <c r="B60" s="26">
        <v>261</v>
      </c>
      <c r="C60" s="26" t="s">
        <v>24</v>
      </c>
      <c r="D60" s="70">
        <f>'BIEU 02-Bang CDSPS (R)'!L143</f>
        <v>33040047867</v>
      </c>
      <c r="E60" s="8">
        <f>'BIEU 02-Bang CDSPS (R)'!D143</f>
        <v>32069832502</v>
      </c>
      <c r="F60" s="90">
        <v>242</v>
      </c>
      <c r="G60" s="90"/>
      <c r="H60" s="88">
        <f t="shared" si="0"/>
        <v>970215365</v>
      </c>
    </row>
    <row r="61" spans="1:8" s="22" customFormat="1" ht="19.5" customHeight="1">
      <c r="A61" s="15" t="s">
        <v>397</v>
      </c>
      <c r="B61" s="26">
        <v>262</v>
      </c>
      <c r="C61" s="26" t="s">
        <v>25</v>
      </c>
      <c r="D61" s="15"/>
      <c r="E61" s="15"/>
      <c r="F61" s="90">
        <v>243</v>
      </c>
      <c r="G61" s="90"/>
      <c r="H61" s="8">
        <f t="shared" si="0"/>
        <v>0</v>
      </c>
    </row>
    <row r="62" spans="1:8" s="22" customFormat="1" ht="19.5" customHeight="1">
      <c r="A62" s="15" t="s">
        <v>398</v>
      </c>
      <c r="B62" s="26">
        <v>268</v>
      </c>
      <c r="C62" s="26"/>
      <c r="D62" s="15"/>
      <c r="E62" s="15"/>
      <c r="F62" s="90">
        <v>244</v>
      </c>
      <c r="G62" s="90"/>
      <c r="H62" s="8">
        <f t="shared" si="0"/>
        <v>0</v>
      </c>
    </row>
    <row r="63" spans="1:8" s="22" customFormat="1" ht="19.5" customHeight="1">
      <c r="A63" s="15"/>
      <c r="B63" s="26"/>
      <c r="C63" s="26"/>
      <c r="D63" s="15"/>
      <c r="E63" s="15"/>
      <c r="F63" s="90"/>
      <c r="G63" s="90"/>
      <c r="H63" s="8">
        <f t="shared" si="0"/>
        <v>0</v>
      </c>
    </row>
    <row r="64" spans="1:11" s="84" customFormat="1" ht="19.5" customHeight="1">
      <c r="A64" s="83" t="s">
        <v>399</v>
      </c>
      <c r="B64" s="83">
        <v>270</v>
      </c>
      <c r="C64" s="83"/>
      <c r="D64" s="10">
        <f>D9+D32</f>
        <v>791544348688</v>
      </c>
      <c r="E64" s="10">
        <f>E9+E32</f>
        <v>660673003785</v>
      </c>
      <c r="F64" s="93"/>
      <c r="G64" s="93"/>
      <c r="H64" s="250">
        <f>H9+H32</f>
        <v>130871344903</v>
      </c>
      <c r="K64" s="362">
        <f>'BIEU 02-Bang CDSPS (R)'!L286+'BIEU 02-Bang CDSPS (R)'!L52-'BIEU 02-Bang CDSPS (R)'!N124-'BIEU 02-Bang CDSPS (R)'!N139-'BIEU 02-Bang CDSPS (R)'!L155+'BIEU 02-Bang CDSPS (R)'!L156+'BIEU 02-Bang CDSPS (R)'!L185</f>
        <v>791544348688</v>
      </c>
    </row>
    <row r="65" spans="1:11" s="22" customFormat="1" ht="19.5" customHeight="1">
      <c r="A65" s="48"/>
      <c r="B65" s="59"/>
      <c r="C65" s="59"/>
      <c r="D65" s="60"/>
      <c r="E65" s="60"/>
      <c r="F65" s="90"/>
      <c r="G65" s="90"/>
      <c r="H65" s="17">
        <f t="shared" si="0"/>
        <v>0</v>
      </c>
      <c r="K65" s="362">
        <f>'BIEU 02-Bang CDSPS (R)'!D286+'BIEU 02-Bang CDSPS (R)'!D52-'BIEU 02-Bang CDSPS (R)'!F124-'BIEU 02-Bang CDSPS (R)'!F139-'BIEU 02-Bang CDSPS (R)'!D155+'BIEU 02-Bang CDSPS (R)'!D156+'BIEU 02-Bang CDSPS (R)'!D185-'BIEU 02-Bang CDSPS (R)'!F113</f>
        <v>660673003785</v>
      </c>
    </row>
    <row r="66" spans="1:8" s="22" customFormat="1" ht="19.5" customHeight="1">
      <c r="A66" s="243"/>
      <c r="B66" s="244"/>
      <c r="C66" s="244"/>
      <c r="D66" s="245"/>
      <c r="E66" s="245"/>
      <c r="F66" s="90"/>
      <c r="G66" s="90"/>
      <c r="H66" s="24"/>
    </row>
    <row r="67" spans="1:8" s="53" customFormat="1" ht="19.5" customHeight="1">
      <c r="A67" s="54" t="s">
        <v>141</v>
      </c>
      <c r="B67" s="54" t="s">
        <v>132</v>
      </c>
      <c r="C67" s="54" t="s">
        <v>400</v>
      </c>
      <c r="D67" s="56" t="s">
        <v>779</v>
      </c>
      <c r="E67" s="56" t="s">
        <v>133</v>
      </c>
      <c r="F67" s="87"/>
      <c r="G67" s="87"/>
      <c r="H67" s="56" t="s">
        <v>712</v>
      </c>
    </row>
    <row r="68" spans="1:8" s="22" customFormat="1" ht="19.5" customHeight="1">
      <c r="A68" s="1" t="s">
        <v>414</v>
      </c>
      <c r="B68" s="1">
        <v>1</v>
      </c>
      <c r="C68" s="1">
        <v>2</v>
      </c>
      <c r="D68" s="57">
        <v>3</v>
      </c>
      <c r="E68" s="57">
        <v>4</v>
      </c>
      <c r="F68" s="90"/>
      <c r="G68" s="90"/>
      <c r="H68" s="57" t="s">
        <v>713</v>
      </c>
    </row>
    <row r="69" spans="1:8" s="22" customFormat="1" ht="19.5" customHeight="1">
      <c r="A69" s="3" t="s">
        <v>142</v>
      </c>
      <c r="B69" s="13">
        <v>300</v>
      </c>
      <c r="C69" s="13"/>
      <c r="D69" s="4">
        <f>D71+D82</f>
        <v>158165051232</v>
      </c>
      <c r="E69" s="4">
        <f>E71+E82</f>
        <v>156205502929</v>
      </c>
      <c r="F69" s="90"/>
      <c r="G69" s="90"/>
      <c r="H69" s="249">
        <f>H71+H82</f>
        <v>1959548303</v>
      </c>
    </row>
    <row r="70" spans="1:8" s="22" customFormat="1" ht="19.5" customHeight="1">
      <c r="A70" s="2" t="s">
        <v>1043</v>
      </c>
      <c r="B70" s="26"/>
      <c r="C70" s="26"/>
      <c r="D70" s="15"/>
      <c r="E70" s="15"/>
      <c r="F70" s="90"/>
      <c r="G70" s="90"/>
      <c r="H70" s="8">
        <f t="shared" si="0"/>
        <v>0</v>
      </c>
    </row>
    <row r="71" spans="1:8" s="22" customFormat="1" ht="19.5" customHeight="1">
      <c r="A71" s="2" t="s">
        <v>615</v>
      </c>
      <c r="B71" s="14">
        <v>310</v>
      </c>
      <c r="C71" s="14"/>
      <c r="D71" s="5">
        <f>SUM(D72:D81)</f>
        <v>119997404495</v>
      </c>
      <c r="E71" s="5">
        <f>SUM(E72:E81)</f>
        <v>127093342616</v>
      </c>
      <c r="F71" s="90"/>
      <c r="G71" s="90"/>
      <c r="H71" s="150">
        <f>SUM(H72:H81)</f>
        <v>-7095938121</v>
      </c>
    </row>
    <row r="72" spans="1:8" s="22" customFormat="1" ht="19.5" customHeight="1">
      <c r="A72" s="15" t="s">
        <v>401</v>
      </c>
      <c r="B72" s="26">
        <v>311</v>
      </c>
      <c r="C72" s="26" t="s">
        <v>26</v>
      </c>
      <c r="D72" s="70">
        <f>'BIEU 02-Bang CDSPS (R)'!N151+'BIEU 02-Bang CDSPS (R)'!N153</f>
        <v>11593732398</v>
      </c>
      <c r="E72" s="8">
        <f>'BIEU 02-Bang CDSPS (R)'!F153</f>
        <v>12388646459</v>
      </c>
      <c r="F72" s="90"/>
      <c r="G72" s="90">
        <v>315</v>
      </c>
      <c r="H72" s="88">
        <f t="shared" si="0"/>
        <v>-794914061</v>
      </c>
    </row>
    <row r="73" spans="1:8" s="22" customFormat="1" ht="19.5" customHeight="1">
      <c r="A73" s="15" t="s">
        <v>402</v>
      </c>
      <c r="B73" s="26">
        <v>312</v>
      </c>
      <c r="C73" s="26"/>
      <c r="D73" s="70">
        <f>'BIEU 02-Bang CDSPS (R)'!N157</f>
        <v>1769653251</v>
      </c>
      <c r="E73" s="8">
        <f>'BIEU 02-Bang CDSPS (R)'!F157</f>
        <v>1299522007</v>
      </c>
      <c r="F73" s="90"/>
      <c r="G73" s="90">
        <v>331</v>
      </c>
      <c r="H73" s="88">
        <f t="shared" si="0"/>
        <v>470131244</v>
      </c>
    </row>
    <row r="74" spans="1:8" s="22" customFormat="1" ht="19.5" customHeight="1">
      <c r="A74" s="15" t="s">
        <v>608</v>
      </c>
      <c r="B74" s="26">
        <v>313</v>
      </c>
      <c r="C74" s="26"/>
      <c r="D74" s="70">
        <f>'BIEU 02-Bang CDSPS (R)'!N53</f>
        <v>16336858912</v>
      </c>
      <c r="E74" s="8">
        <f>'BIEU 02-Bang CDSPS (R)'!F53</f>
        <v>12911050694</v>
      </c>
      <c r="F74" s="90"/>
      <c r="G74" s="90">
        <v>131</v>
      </c>
      <c r="H74" s="88">
        <f t="shared" si="0"/>
        <v>3425808218</v>
      </c>
    </row>
    <row r="75" spans="1:8" s="22" customFormat="1" ht="19.5" customHeight="1">
      <c r="A75" s="15" t="s">
        <v>609</v>
      </c>
      <c r="B75" s="26">
        <v>314</v>
      </c>
      <c r="C75" s="26" t="s">
        <v>27</v>
      </c>
      <c r="D75" s="70">
        <f>'BIEU 02-Bang CDSPS (R)'!N160+'BIEU 02-Bang CDSPS (R)'!N161+'BIEU 02-Bang CDSPS (R)'!N162+'BIEU 02-Bang CDSPS (R)'!N163+'BIEU 02-Bang CDSPS (R)'!N164+'BIEU 02-Bang CDSPS (R)'!N165+'BIEU 02-Bang CDSPS (R)'!N166</f>
        <v>15808271033</v>
      </c>
      <c r="E75" s="8">
        <f>'BIEU 02-Bang CDSPS (R)'!F160+'BIEU 02-Bang CDSPS (R)'!F161+'BIEU 02-Bang CDSPS (R)'!F162+'BIEU 02-Bang CDSPS (R)'!F163+'BIEU 02-Bang CDSPS (R)'!F164+'BIEU 02-Bang CDSPS (R)'!F165+'BIEU 02-Bang CDSPS (R)'!F166</f>
        <v>6571462034</v>
      </c>
      <c r="F75" s="90"/>
      <c r="G75" s="90">
        <v>333</v>
      </c>
      <c r="H75" s="88">
        <f t="shared" si="0"/>
        <v>9236808999</v>
      </c>
    </row>
    <row r="76" spans="1:8" s="22" customFormat="1" ht="19.5" customHeight="1">
      <c r="A76" s="15" t="s">
        <v>1044</v>
      </c>
      <c r="B76" s="26">
        <v>315</v>
      </c>
      <c r="C76" s="26"/>
      <c r="D76" s="70">
        <f>'BIEU 02-Bang CDSPS (R)'!N169</f>
        <v>64901104125</v>
      </c>
      <c r="E76" s="8">
        <f>'BIEU 02-Bang CDSPS (R)'!F169</f>
        <v>82162536623</v>
      </c>
      <c r="F76" s="90"/>
      <c r="G76" s="94">
        <v>334</v>
      </c>
      <c r="H76" s="8">
        <f t="shared" si="0"/>
        <v>-17261432498</v>
      </c>
    </row>
    <row r="77" spans="1:8" s="22" customFormat="1" ht="19.5" customHeight="1">
      <c r="A77" s="15" t="s">
        <v>610</v>
      </c>
      <c r="B77" s="26">
        <v>316</v>
      </c>
      <c r="C77" s="26" t="s">
        <v>28</v>
      </c>
      <c r="D77" s="70">
        <f>'BIEU 02-Bang CDSPS (R)'!N176</f>
        <v>215698222</v>
      </c>
      <c r="E77" s="8">
        <f>'BIEU 02-Bang CDSPS (R)'!F176</f>
        <v>352312400</v>
      </c>
      <c r="F77" s="90"/>
      <c r="G77" s="94">
        <v>335</v>
      </c>
      <c r="H77" s="88">
        <f aca="true" t="shared" si="1" ref="H77:H109">D77-E77</f>
        <v>-136614178</v>
      </c>
    </row>
    <row r="78" spans="1:8" s="22" customFormat="1" ht="19.5" customHeight="1">
      <c r="A78" s="15" t="s">
        <v>613</v>
      </c>
      <c r="B78" s="26">
        <v>317</v>
      </c>
      <c r="C78" s="26"/>
      <c r="D78" s="8">
        <f>'BIEU 02-Bang CDSPS (R)'!N178</f>
        <v>0</v>
      </c>
      <c r="E78" s="8">
        <f>'BIEU 02-Bang CDSPS (R)'!F178</f>
        <v>0</v>
      </c>
      <c r="F78" s="90"/>
      <c r="G78" s="94">
        <v>136.336</v>
      </c>
      <c r="H78" s="88">
        <f t="shared" si="1"/>
        <v>0</v>
      </c>
    </row>
    <row r="79" spans="1:8" s="22" customFormat="1" ht="19.5" customHeight="1">
      <c r="A79" s="15" t="s">
        <v>614</v>
      </c>
      <c r="B79" s="26">
        <v>318</v>
      </c>
      <c r="C79" s="26"/>
      <c r="D79" s="8">
        <f>'BIEU 02-Bang CDSPS (R)'!N180</f>
        <v>0</v>
      </c>
      <c r="E79" s="8">
        <f>'BIEU 02-Bang CDSPS (R)'!F180</f>
        <v>0</v>
      </c>
      <c r="F79" s="90"/>
      <c r="G79" s="94">
        <v>337</v>
      </c>
      <c r="H79" s="8">
        <f t="shared" si="1"/>
        <v>0</v>
      </c>
    </row>
    <row r="80" spans="1:8" s="22" customFormat="1" ht="19.5" customHeight="1">
      <c r="A80" s="15" t="s">
        <v>1045</v>
      </c>
      <c r="B80" s="26">
        <v>319</v>
      </c>
      <c r="C80" s="26" t="s">
        <v>29</v>
      </c>
      <c r="D80" s="70">
        <f>0+9372086554</f>
        <v>9372086554</v>
      </c>
      <c r="E80" s="70">
        <f>0+10981984926+248899392+129969000+46959081</f>
        <v>11407812399</v>
      </c>
      <c r="F80" s="90"/>
      <c r="G80" s="90">
        <v>138.338</v>
      </c>
      <c r="H80" s="8">
        <f t="shared" si="1"/>
        <v>-2035725845</v>
      </c>
    </row>
    <row r="81" spans="1:8" s="22" customFormat="1" ht="19.5" customHeight="1">
      <c r="A81" s="15" t="s">
        <v>1046</v>
      </c>
      <c r="B81" s="26">
        <v>320</v>
      </c>
      <c r="C81" s="26"/>
      <c r="D81" s="8"/>
      <c r="E81" s="8"/>
      <c r="F81" s="90"/>
      <c r="G81" s="90">
        <v>352</v>
      </c>
      <c r="H81" s="8">
        <f t="shared" si="1"/>
        <v>0</v>
      </c>
    </row>
    <row r="82" spans="1:8" s="22" customFormat="1" ht="19.5" customHeight="1">
      <c r="A82" s="2" t="s">
        <v>616</v>
      </c>
      <c r="B82" s="14">
        <v>330</v>
      </c>
      <c r="C82" s="14"/>
      <c r="D82" s="5">
        <f>SUM(D83:D89)</f>
        <v>38167646737</v>
      </c>
      <c r="E82" s="5">
        <f>SUM(E83:E89)</f>
        <v>29112160313</v>
      </c>
      <c r="F82" s="90"/>
      <c r="G82" s="90"/>
      <c r="H82" s="150">
        <f>SUM(H83:H89)</f>
        <v>9055486424</v>
      </c>
    </row>
    <row r="83" spans="1:8" s="22" customFormat="1" ht="19.5" customHeight="1">
      <c r="A83" s="15" t="s">
        <v>617</v>
      </c>
      <c r="B83" s="26">
        <v>331</v>
      </c>
      <c r="C83" s="26"/>
      <c r="D83" s="8"/>
      <c r="E83" s="8"/>
      <c r="F83" s="90"/>
      <c r="G83" s="90" t="s">
        <v>379</v>
      </c>
      <c r="H83" s="8">
        <f t="shared" si="1"/>
        <v>0</v>
      </c>
    </row>
    <row r="84" spans="1:8" s="22" customFormat="1" ht="19.5" customHeight="1">
      <c r="A84" s="15" t="s">
        <v>618</v>
      </c>
      <c r="B84" s="26">
        <v>332</v>
      </c>
      <c r="C84" s="26" t="s">
        <v>30</v>
      </c>
      <c r="D84" s="8"/>
      <c r="E84" s="8"/>
      <c r="F84" s="90"/>
      <c r="G84" s="90" t="s">
        <v>380</v>
      </c>
      <c r="H84" s="8">
        <f t="shared" si="1"/>
        <v>0</v>
      </c>
    </row>
    <row r="85" spans="1:8" s="22" customFormat="1" ht="19.5" customHeight="1">
      <c r="A85" s="15" t="s">
        <v>619</v>
      </c>
      <c r="B85" s="26">
        <v>333</v>
      </c>
      <c r="C85" s="26"/>
      <c r="D85" s="8"/>
      <c r="E85" s="8"/>
      <c r="F85" s="90"/>
      <c r="G85" s="90" t="s">
        <v>381</v>
      </c>
      <c r="H85" s="8">
        <f t="shared" si="1"/>
        <v>0</v>
      </c>
    </row>
    <row r="86" spans="1:8" s="22" customFormat="1" ht="19.5" customHeight="1">
      <c r="A86" s="16" t="s">
        <v>620</v>
      </c>
      <c r="B86" s="85">
        <v>334</v>
      </c>
      <c r="C86" s="85" t="s">
        <v>31</v>
      </c>
      <c r="D86" s="187">
        <f>'BIEU 02-Bang CDSPS (R)'!N191</f>
        <v>34758155155</v>
      </c>
      <c r="E86" s="187">
        <f>'BIEU 02-Bang CDSPS (R)'!F191</f>
        <v>26888450436</v>
      </c>
      <c r="F86" s="90"/>
      <c r="G86" s="90">
        <v>341</v>
      </c>
      <c r="H86" s="143">
        <f t="shared" si="1"/>
        <v>7869704719</v>
      </c>
    </row>
    <row r="87" spans="1:8" s="22" customFormat="1" ht="19.5" customHeight="1">
      <c r="A87" s="25" t="s">
        <v>621</v>
      </c>
      <c r="B87" s="131">
        <v>335</v>
      </c>
      <c r="C87" s="131" t="s">
        <v>25</v>
      </c>
      <c r="D87" s="23"/>
      <c r="E87" s="23"/>
      <c r="F87" s="90"/>
      <c r="G87" s="90">
        <v>347</v>
      </c>
      <c r="H87" s="23">
        <f t="shared" si="1"/>
        <v>0</v>
      </c>
    </row>
    <row r="88" spans="1:8" s="22" customFormat="1" ht="19.5" customHeight="1">
      <c r="A88" s="15" t="s">
        <v>733</v>
      </c>
      <c r="B88" s="26">
        <v>336</v>
      </c>
      <c r="C88" s="26"/>
      <c r="D88" s="70">
        <f>'BIEU 02-Bang CDSPS (R)'!N201</f>
        <v>3409491582</v>
      </c>
      <c r="E88" s="8">
        <f>'BIEU 02-Bang CDSPS (R)'!F201</f>
        <v>2223709877</v>
      </c>
      <c r="F88" s="90"/>
      <c r="G88" s="90">
        <v>351</v>
      </c>
      <c r="H88" s="8">
        <f t="shared" si="1"/>
        <v>1185781705</v>
      </c>
    </row>
    <row r="89" spans="1:8" s="22" customFormat="1" ht="19.5" customHeight="1">
      <c r="A89" s="15" t="s">
        <v>734</v>
      </c>
      <c r="B89" s="26">
        <v>337</v>
      </c>
      <c r="C89" s="26"/>
      <c r="D89" s="15"/>
      <c r="E89" s="15"/>
      <c r="F89" s="90"/>
      <c r="G89" s="90" t="s">
        <v>383</v>
      </c>
      <c r="H89" s="8">
        <f t="shared" si="1"/>
        <v>0</v>
      </c>
    </row>
    <row r="90" spans="1:8" s="22" customFormat="1" ht="19.5" customHeight="1">
      <c r="A90" s="2" t="s">
        <v>622</v>
      </c>
      <c r="B90" s="14">
        <v>400</v>
      </c>
      <c r="C90" s="14"/>
      <c r="D90" s="5">
        <f>D92+D104</f>
        <v>633379297456</v>
      </c>
      <c r="E90" s="5">
        <f>E92+E104</f>
        <v>504467500856</v>
      </c>
      <c r="F90" s="90"/>
      <c r="G90" s="90"/>
      <c r="H90" s="5">
        <f>H92+H104</f>
        <v>128911796600</v>
      </c>
    </row>
    <row r="91" spans="1:8" s="22" customFormat="1" ht="19.5" customHeight="1">
      <c r="A91" s="2" t="s">
        <v>735</v>
      </c>
      <c r="B91" s="15"/>
      <c r="C91" s="15"/>
      <c r="D91" s="15"/>
      <c r="E91" s="15"/>
      <c r="F91" s="90"/>
      <c r="G91" s="90"/>
      <c r="H91" s="8">
        <f t="shared" si="1"/>
        <v>0</v>
      </c>
    </row>
    <row r="92" spans="1:8" s="22" customFormat="1" ht="19.5" customHeight="1">
      <c r="A92" s="2" t="s">
        <v>623</v>
      </c>
      <c r="B92" s="14">
        <v>410</v>
      </c>
      <c r="C92" s="26" t="s">
        <v>32</v>
      </c>
      <c r="D92" s="5">
        <f>SUM(D93:D103)</f>
        <v>625014511209</v>
      </c>
      <c r="E92" s="5">
        <f>SUM(E93:E103)</f>
        <v>478841238512</v>
      </c>
      <c r="F92" s="90"/>
      <c r="G92" s="90"/>
      <c r="H92" s="5">
        <f>SUM(H93:H103)</f>
        <v>146173272697</v>
      </c>
    </row>
    <row r="93" spans="1:8" s="22" customFormat="1" ht="19.5" customHeight="1">
      <c r="A93" s="15" t="s">
        <v>624</v>
      </c>
      <c r="B93" s="26">
        <v>411</v>
      </c>
      <c r="C93" s="26"/>
      <c r="D93" s="70">
        <f>'BIEU 02-Bang CDSPS (R)'!N208</f>
        <v>300000000000</v>
      </c>
      <c r="E93" s="70">
        <f>'BIEU 02-Bang CDSPS (R)'!F208</f>
        <v>300000000000</v>
      </c>
      <c r="F93" s="90"/>
      <c r="G93" s="90" t="s">
        <v>10</v>
      </c>
      <c r="H93" s="8">
        <f t="shared" si="1"/>
        <v>0</v>
      </c>
    </row>
    <row r="94" spans="1:8" s="22" customFormat="1" ht="19.5" customHeight="1">
      <c r="A94" s="15" t="s">
        <v>625</v>
      </c>
      <c r="B94" s="26">
        <v>412</v>
      </c>
      <c r="C94" s="26"/>
      <c r="D94" s="70">
        <f>'BIEU 02-Bang CDSPS (R)'!N211</f>
        <v>0</v>
      </c>
      <c r="E94" s="15"/>
      <c r="F94" s="90"/>
      <c r="G94" s="90">
        <v>4112</v>
      </c>
      <c r="H94" s="8">
        <f t="shared" si="1"/>
        <v>0</v>
      </c>
    </row>
    <row r="95" spans="1:8" s="22" customFormat="1" ht="19.5" customHeight="1">
      <c r="A95" s="15" t="s">
        <v>1</v>
      </c>
      <c r="B95" s="26">
        <v>413</v>
      </c>
      <c r="C95" s="26"/>
      <c r="D95" s="70">
        <f>'BIEU 02-Bang CDSPS (R)'!N212</f>
        <v>0</v>
      </c>
      <c r="E95" s="15"/>
      <c r="F95" s="90"/>
      <c r="G95" s="90">
        <v>4118</v>
      </c>
      <c r="H95" s="8">
        <f t="shared" si="1"/>
        <v>0</v>
      </c>
    </row>
    <row r="96" spans="1:8" s="22" customFormat="1" ht="19.5" customHeight="1">
      <c r="A96" s="15" t="s">
        <v>2</v>
      </c>
      <c r="B96" s="26">
        <v>414</v>
      </c>
      <c r="C96" s="26"/>
      <c r="D96" s="8"/>
      <c r="E96" s="8"/>
      <c r="F96" s="90"/>
      <c r="G96" s="90">
        <v>419</v>
      </c>
      <c r="H96" s="8">
        <f t="shared" si="1"/>
        <v>0</v>
      </c>
    </row>
    <row r="97" spans="1:8" s="22" customFormat="1" ht="19.5" customHeight="1">
      <c r="A97" s="15" t="s">
        <v>3</v>
      </c>
      <c r="B97" s="26">
        <v>415</v>
      </c>
      <c r="C97" s="26"/>
      <c r="D97" s="8"/>
      <c r="E97" s="8"/>
      <c r="F97" s="90"/>
      <c r="G97" s="90">
        <v>412</v>
      </c>
      <c r="H97" s="8">
        <f t="shared" si="1"/>
        <v>0</v>
      </c>
    </row>
    <row r="98" spans="1:8" s="22" customFormat="1" ht="19.5" customHeight="1">
      <c r="A98" s="15" t="s">
        <v>4</v>
      </c>
      <c r="B98" s="26">
        <v>416</v>
      </c>
      <c r="C98" s="26"/>
      <c r="D98" s="8">
        <f>'BIEU 02-Bang CDSPS (R)'!N216</f>
        <v>2747100439</v>
      </c>
      <c r="E98" s="8">
        <f>'BIEU 02-Bang CDSPS (R)'!F216</f>
        <v>0</v>
      </c>
      <c r="F98" s="90"/>
      <c r="G98" s="90">
        <v>413</v>
      </c>
      <c r="H98" s="8">
        <f t="shared" si="1"/>
        <v>2747100439</v>
      </c>
    </row>
    <row r="99" spans="1:8" s="22" customFormat="1" ht="19.5" customHeight="1">
      <c r="A99" s="15" t="s">
        <v>5</v>
      </c>
      <c r="B99" s="26">
        <v>417</v>
      </c>
      <c r="C99" s="26"/>
      <c r="D99" s="70">
        <f>'BIEU 02-Bang CDSPS (R)'!N218</f>
        <v>146598959496</v>
      </c>
      <c r="E99" s="8">
        <f>'BIEU 02-Bang CDSPS (R)'!F218</f>
        <v>93447585165</v>
      </c>
      <c r="F99" s="90"/>
      <c r="G99" s="90">
        <v>414</v>
      </c>
      <c r="H99" s="8">
        <f t="shared" si="1"/>
        <v>53151374331</v>
      </c>
    </row>
    <row r="100" spans="1:8" s="22" customFormat="1" ht="19.5" customHeight="1">
      <c r="A100" s="15" t="s">
        <v>6</v>
      </c>
      <c r="B100" s="26">
        <v>418</v>
      </c>
      <c r="C100" s="26"/>
      <c r="D100" s="70">
        <f>'BIEU 02-Bang CDSPS (R)'!N220</f>
        <v>15911903587</v>
      </c>
      <c r="E100" s="8">
        <f>'BIEU 02-Bang CDSPS (R)'!F220</f>
        <v>15911903587</v>
      </c>
      <c r="F100" s="90"/>
      <c r="G100" s="90">
        <v>415</v>
      </c>
      <c r="H100" s="8">
        <f t="shared" si="1"/>
        <v>0</v>
      </c>
    </row>
    <row r="101" spans="1:8" s="22" customFormat="1" ht="19.5" customHeight="1">
      <c r="A101" s="15" t="s">
        <v>7</v>
      </c>
      <c r="B101" s="26">
        <v>419</v>
      </c>
      <c r="C101" s="26"/>
      <c r="D101" s="8">
        <f>'BIEU 02-Bang CDSPS (R)'!N222</f>
        <v>0</v>
      </c>
      <c r="E101" s="8">
        <f>'BIEU 02-Bang CDSPS (R)'!F222</f>
        <v>0</v>
      </c>
      <c r="F101" s="90"/>
      <c r="G101" s="90">
        <v>418</v>
      </c>
      <c r="H101" s="88">
        <f t="shared" si="1"/>
        <v>0</v>
      </c>
    </row>
    <row r="102" spans="1:8" s="22" customFormat="1" ht="19.5" customHeight="1">
      <c r="A102" s="15" t="s">
        <v>8</v>
      </c>
      <c r="B102" s="26">
        <v>420</v>
      </c>
      <c r="C102" s="26"/>
      <c r="D102" s="70">
        <f>'BIEU 02-Bang CDSPS (R)'!N226</f>
        <v>159756547687</v>
      </c>
      <c r="E102" s="8">
        <f>'BIEU 02-Bang CDSPS (R)'!F226</f>
        <v>69481749760</v>
      </c>
      <c r="F102" s="90"/>
      <c r="G102" s="90">
        <v>421</v>
      </c>
      <c r="H102" s="8">
        <f t="shared" si="1"/>
        <v>90274797927</v>
      </c>
    </row>
    <row r="103" spans="1:8" s="22" customFormat="1" ht="19.5" customHeight="1">
      <c r="A103" s="15" t="s">
        <v>9</v>
      </c>
      <c r="B103" s="26">
        <v>421</v>
      </c>
      <c r="C103" s="26"/>
      <c r="D103" s="70">
        <f>'BIEU 02-Bang CDSPS (R)'!N233</f>
        <v>0</v>
      </c>
      <c r="E103" s="8">
        <f>'BIEU 02-Bang CDSPS (R)'!F233</f>
        <v>0</v>
      </c>
      <c r="F103" s="90"/>
      <c r="G103" s="90">
        <v>441</v>
      </c>
      <c r="H103" s="8">
        <f t="shared" si="1"/>
        <v>0</v>
      </c>
    </row>
    <row r="104" spans="1:8" s="22" customFormat="1" ht="19.5" customHeight="1">
      <c r="A104" s="2" t="s">
        <v>627</v>
      </c>
      <c r="B104" s="14">
        <v>430</v>
      </c>
      <c r="C104" s="14"/>
      <c r="D104" s="150">
        <f>D105+D106+D109</f>
        <v>8364786247</v>
      </c>
      <c r="E104" s="5">
        <f>E105+E106+E109</f>
        <v>25626262344</v>
      </c>
      <c r="F104" s="90"/>
      <c r="G104" s="90"/>
      <c r="H104" s="150">
        <f>H105+H106+H109</f>
        <v>-17261476097</v>
      </c>
    </row>
    <row r="105" spans="1:8" s="22" customFormat="1" ht="19.5" customHeight="1">
      <c r="A105" s="15" t="s">
        <v>626</v>
      </c>
      <c r="B105" s="26">
        <v>431</v>
      </c>
      <c r="C105" s="26"/>
      <c r="D105" s="8">
        <f>'BIEU 02-Bang CDSPS (R)'!N228</f>
        <v>8364786247</v>
      </c>
      <c r="E105" s="8">
        <f>'BIEU 02-Bang CDSPS (R)'!F228</f>
        <v>25626262344</v>
      </c>
      <c r="F105" s="90"/>
      <c r="G105" s="90">
        <v>431</v>
      </c>
      <c r="H105" s="88">
        <f t="shared" si="1"/>
        <v>-17261476097</v>
      </c>
    </row>
    <row r="106" spans="1:8" s="22" customFormat="1" ht="19.5" customHeight="1">
      <c r="A106" s="15" t="s">
        <v>631</v>
      </c>
      <c r="B106" s="26">
        <v>432</v>
      </c>
      <c r="C106" s="26" t="s">
        <v>33</v>
      </c>
      <c r="D106" s="8">
        <f>SUM(D107:D108)</f>
        <v>0</v>
      </c>
      <c r="E106" s="8">
        <f>SUM(E107:E108)</f>
        <v>0</v>
      </c>
      <c r="F106" s="90"/>
      <c r="G106" s="90"/>
      <c r="H106" s="8">
        <f>SUM(H107:H108)</f>
        <v>0</v>
      </c>
    </row>
    <row r="107" spans="1:8" s="102" customFormat="1" ht="19.5" customHeight="1" hidden="1">
      <c r="A107" s="79" t="s">
        <v>611</v>
      </c>
      <c r="B107" s="99"/>
      <c r="C107" s="99"/>
      <c r="D107" s="72">
        <f>'BIEU 02-Bang CDSPS (R)'!N235</f>
        <v>0</v>
      </c>
      <c r="E107" s="72">
        <f>'BIEU 02-Bang CDSPS (R)'!F235</f>
        <v>0</v>
      </c>
      <c r="F107" s="101"/>
      <c r="G107" s="95">
        <v>461</v>
      </c>
      <c r="H107" s="9">
        <f t="shared" si="1"/>
        <v>0</v>
      </c>
    </row>
    <row r="108" spans="1:8" s="106" customFormat="1" ht="19.5" customHeight="1" hidden="1">
      <c r="A108" s="103" t="s">
        <v>612</v>
      </c>
      <c r="B108" s="104"/>
      <c r="C108" s="104"/>
      <c r="D108" s="107">
        <f>-'BIEU 02-Bang CDSPS (R)'!L115</f>
        <v>0</v>
      </c>
      <c r="E108" s="107">
        <f>-'BIEU 02-Bang CDSPS (R)'!D115</f>
        <v>0</v>
      </c>
      <c r="F108" s="95">
        <v>161</v>
      </c>
      <c r="G108" s="105"/>
      <c r="H108" s="8">
        <f t="shared" si="1"/>
        <v>0</v>
      </c>
    </row>
    <row r="109" spans="1:8" s="22" customFormat="1" ht="19.5" customHeight="1">
      <c r="A109" s="15" t="s">
        <v>632</v>
      </c>
      <c r="B109" s="26">
        <v>433</v>
      </c>
      <c r="C109" s="26"/>
      <c r="D109" s="70">
        <f>'BIEU 02-Bang CDSPS (R)'!N239</f>
        <v>0</v>
      </c>
      <c r="E109" s="70">
        <f>'BIEU 02-Bang CDSPS (R)'!F239</f>
        <v>0</v>
      </c>
      <c r="F109" s="90"/>
      <c r="G109" s="90">
        <v>466</v>
      </c>
      <c r="H109" s="88">
        <f t="shared" si="1"/>
        <v>0</v>
      </c>
    </row>
    <row r="110" spans="1:8" s="22" customFormat="1" ht="19.5" customHeight="1">
      <c r="A110" s="15"/>
      <c r="B110" s="26"/>
      <c r="C110" s="26"/>
      <c r="D110" s="8"/>
      <c r="E110" s="8"/>
      <c r="F110" s="90"/>
      <c r="G110" s="90"/>
      <c r="H110" s="15"/>
    </row>
    <row r="111" spans="1:8" s="89" customFormat="1" ht="19.5" customHeight="1">
      <c r="A111" s="83" t="s">
        <v>633</v>
      </c>
      <c r="B111" s="83">
        <v>430</v>
      </c>
      <c r="C111" s="83"/>
      <c r="D111" s="10">
        <f>D69+D90</f>
        <v>791544348688</v>
      </c>
      <c r="E111" s="10">
        <f>E69+E90</f>
        <v>660673003785</v>
      </c>
      <c r="F111" s="95"/>
      <c r="G111" s="95"/>
      <c r="H111" s="250">
        <f>H69+H90</f>
        <v>130871344903</v>
      </c>
    </row>
    <row r="112" spans="1:8" s="22" customFormat="1" ht="19.5" customHeight="1">
      <c r="A112" s="48"/>
      <c r="B112" s="59"/>
      <c r="C112" s="59"/>
      <c r="D112" s="60"/>
      <c r="E112" s="60"/>
      <c r="F112" s="91"/>
      <c r="G112" s="90"/>
      <c r="H112" s="16"/>
    </row>
    <row r="113" spans="1:7" s="22" customFormat="1" ht="19.5" customHeight="1">
      <c r="A113" s="61"/>
      <c r="B113" s="50"/>
      <c r="C113" s="50"/>
      <c r="D113" s="24">
        <f>D64-D111</f>
        <v>0</v>
      </c>
      <c r="E113" s="24">
        <f>E64-E111</f>
        <v>0</v>
      </c>
      <c r="F113" s="91"/>
      <c r="G113" s="90"/>
    </row>
    <row r="114" spans="1:7" s="74" customFormat="1" ht="22.5" customHeight="1">
      <c r="A114" s="421" t="s">
        <v>634</v>
      </c>
      <c r="B114" s="421"/>
      <c r="C114" s="421"/>
      <c r="D114" s="421"/>
      <c r="E114" s="421"/>
      <c r="F114" s="134"/>
      <c r="G114" s="134"/>
    </row>
    <row r="115" spans="1:7" s="138" customFormat="1" ht="22.5" customHeight="1">
      <c r="A115" s="135" t="s">
        <v>1036</v>
      </c>
      <c r="B115" s="419" t="s">
        <v>480</v>
      </c>
      <c r="C115" s="420"/>
      <c r="D115" s="136" t="s">
        <v>779</v>
      </c>
      <c r="E115" s="136" t="s">
        <v>133</v>
      </c>
      <c r="F115" s="137"/>
      <c r="G115" s="137"/>
    </row>
    <row r="116" spans="1:7" s="74" customFormat="1" ht="19.5" customHeight="1">
      <c r="A116" s="75" t="s">
        <v>143</v>
      </c>
      <c r="B116" s="422">
        <v>24</v>
      </c>
      <c r="C116" s="423"/>
      <c r="D116" s="75"/>
      <c r="E116" s="75"/>
      <c r="F116" s="134"/>
      <c r="G116" s="134"/>
    </row>
    <row r="117" spans="1:7" s="74" customFormat="1" ht="19.5" customHeight="1">
      <c r="A117" s="75" t="s">
        <v>790</v>
      </c>
      <c r="B117" s="422"/>
      <c r="C117" s="423"/>
      <c r="D117" s="70">
        <f>'BIEU 02-Bang CDSPS (R)'!L289</f>
        <v>958269119</v>
      </c>
      <c r="E117" s="70">
        <f>'BIEU 02-Bang CDSPS (R)'!D289</f>
        <v>958269119</v>
      </c>
      <c r="F117" s="134"/>
      <c r="G117" s="134"/>
    </row>
    <row r="118" spans="1:7" s="74" customFormat="1" ht="19.5" customHeight="1">
      <c r="A118" s="75" t="s">
        <v>478</v>
      </c>
      <c r="B118" s="422"/>
      <c r="C118" s="423"/>
      <c r="D118" s="75"/>
      <c r="E118" s="75"/>
      <c r="F118" s="134"/>
      <c r="G118" s="134"/>
    </row>
    <row r="119" spans="1:7" s="74" customFormat="1" ht="19.5" customHeight="1">
      <c r="A119" s="75" t="s">
        <v>144</v>
      </c>
      <c r="B119" s="422"/>
      <c r="C119" s="423"/>
      <c r="D119" s="70">
        <f>'BIEU 02-Bang CDSPS (R)'!L290</f>
        <v>1519655163</v>
      </c>
      <c r="E119" s="70">
        <f>'BIEU 02-Bang CDSPS (R)'!D290</f>
        <v>1519655163</v>
      </c>
      <c r="F119" s="134"/>
      <c r="G119" s="134"/>
    </row>
    <row r="120" spans="1:7" s="74" customFormat="1" ht="19.5" customHeight="1">
      <c r="A120" s="75" t="s">
        <v>145</v>
      </c>
      <c r="B120" s="426"/>
      <c r="C120" s="423"/>
      <c r="D120" s="139">
        <f>'BIEU 02-Bang CDSPS (R)'!L291</f>
        <v>5414876.930000001</v>
      </c>
      <c r="E120" s="139">
        <f>'BIEU 02-Bang CDSPS (R)'!D291</f>
        <v>2891338.1199999996</v>
      </c>
      <c r="F120" s="134"/>
      <c r="G120" s="134"/>
    </row>
    <row r="121" spans="1:7" s="74" customFormat="1" ht="19.5" customHeight="1">
      <c r="A121" s="75" t="s">
        <v>479</v>
      </c>
      <c r="B121" s="422"/>
      <c r="C121" s="423"/>
      <c r="D121" s="75"/>
      <c r="E121" s="75"/>
      <c r="F121" s="134"/>
      <c r="G121" s="134"/>
    </row>
    <row r="122" spans="1:7" s="74" customFormat="1" ht="19.5" customHeight="1">
      <c r="A122" s="80"/>
      <c r="B122" s="424"/>
      <c r="C122" s="425"/>
      <c r="D122" s="80"/>
      <c r="E122" s="80"/>
      <c r="F122" s="134"/>
      <c r="G122" s="134"/>
    </row>
    <row r="123" spans="4:7" s="74" customFormat="1" ht="22.5" customHeight="1">
      <c r="D123" s="140" t="s">
        <v>66</v>
      </c>
      <c r="E123" s="76"/>
      <c r="F123" s="134"/>
      <c r="G123" s="134"/>
    </row>
    <row r="124" spans="1:7" s="74" customFormat="1" ht="18">
      <c r="A124" s="141" t="s">
        <v>146</v>
      </c>
      <c r="D124" s="418" t="s">
        <v>546</v>
      </c>
      <c r="E124" s="418"/>
      <c r="F124" s="134"/>
      <c r="G124" s="134"/>
    </row>
    <row r="125" spans="6:7" s="74" customFormat="1" ht="17.25">
      <c r="F125" s="134"/>
      <c r="G125" s="134"/>
    </row>
    <row r="126" spans="6:7" s="74" customFormat="1" ht="17.25">
      <c r="F126" s="134"/>
      <c r="G126" s="134"/>
    </row>
    <row r="127" spans="6:7" s="74" customFormat="1" ht="17.25">
      <c r="F127" s="134"/>
      <c r="G127" s="134"/>
    </row>
    <row r="128" spans="6:7" s="74" customFormat="1" ht="17.25">
      <c r="F128" s="134"/>
      <c r="G128" s="134"/>
    </row>
    <row r="129" spans="1:7" s="74" customFormat="1" ht="24" customHeight="1">
      <c r="A129" s="142" t="s">
        <v>147</v>
      </c>
      <c r="F129" s="134"/>
      <c r="G129" s="134"/>
    </row>
  </sheetData>
  <mergeCells count="14">
    <mergeCell ref="D124:E124"/>
    <mergeCell ref="B115:C115"/>
    <mergeCell ref="A114:E114"/>
    <mergeCell ref="B116:C116"/>
    <mergeCell ref="B117:C117"/>
    <mergeCell ref="B118:C118"/>
    <mergeCell ref="B119:C119"/>
    <mergeCell ref="B121:C121"/>
    <mergeCell ref="B122:C122"/>
    <mergeCell ref="B120:C120"/>
    <mergeCell ref="D1:E1"/>
    <mergeCell ref="A6:E6"/>
    <mergeCell ref="D2:E2"/>
    <mergeCell ref="D3:E3"/>
  </mergeCells>
  <printOptions horizontalCentered="1"/>
  <pageMargins left="0" right="0" top="1" bottom="0.5" header="0" footer="0"/>
  <pageSetup horizontalDpi="180" verticalDpi="180" orientation="portrait" paperSize="9" scale="85" r:id="rId3"/>
  <legacyDrawing r:id="rId2"/>
</worksheet>
</file>

<file path=xl/worksheets/sheet7.xml><?xml version="1.0" encoding="utf-8"?>
<worksheet xmlns="http://schemas.openxmlformats.org/spreadsheetml/2006/main" xmlns:r="http://schemas.openxmlformats.org/officeDocument/2006/relationships">
  <dimension ref="A1:H47"/>
  <sheetViews>
    <sheetView workbookViewId="0" topLeftCell="A29">
      <selection activeCell="D38" sqref="D38"/>
    </sheetView>
  </sheetViews>
  <sheetFormatPr defaultColWidth="8.796875" defaultRowHeight="15"/>
  <cols>
    <col min="1" max="1" width="60.69921875" style="12" customWidth="1"/>
    <col min="2" max="2" width="7.3984375" style="12" customWidth="1"/>
    <col min="3" max="4" width="17.3984375" style="12" customWidth="1"/>
    <col min="5" max="7" width="9" style="12" customWidth="1"/>
    <col min="8" max="8" width="16.5" style="12" customWidth="1"/>
    <col min="9" max="16384" width="9" style="12" customWidth="1"/>
  </cols>
  <sheetData>
    <row r="1" spans="1:4" ht="15">
      <c r="A1" s="117" t="s">
        <v>448</v>
      </c>
      <c r="C1" s="410" t="s">
        <v>51</v>
      </c>
      <c r="D1" s="410"/>
    </row>
    <row r="2" spans="1:4" s="11" customFormat="1" ht="15">
      <c r="A2" s="110" t="s">
        <v>405</v>
      </c>
      <c r="C2" s="410" t="s">
        <v>47</v>
      </c>
      <c r="D2" s="410"/>
    </row>
    <row r="3" spans="1:4" s="11" customFormat="1" ht="15">
      <c r="A3" s="110" t="s">
        <v>48</v>
      </c>
      <c r="C3" s="410" t="s">
        <v>45</v>
      </c>
      <c r="D3" s="410"/>
    </row>
    <row r="4" spans="1:4" s="67" customFormat="1" ht="30.75" customHeight="1">
      <c r="A4" s="382" t="s">
        <v>96</v>
      </c>
      <c r="B4" s="382"/>
      <c r="C4" s="382"/>
      <c r="D4" s="382"/>
    </row>
    <row r="5" spans="1:4" s="21" customFormat="1" ht="15">
      <c r="A5" s="427"/>
      <c r="B5" s="427"/>
      <c r="C5" s="427"/>
      <c r="D5" s="427"/>
    </row>
    <row r="6" spans="1:4" ht="24" customHeight="1">
      <c r="A6" s="30" t="s">
        <v>604</v>
      </c>
      <c r="B6" s="30" t="s">
        <v>132</v>
      </c>
      <c r="C6" s="30" t="s">
        <v>1103</v>
      </c>
      <c r="D6" s="30" t="s">
        <v>1104</v>
      </c>
    </row>
    <row r="7" spans="1:4" ht="21" customHeight="1" hidden="1">
      <c r="A7" s="30">
        <v>1</v>
      </c>
      <c r="B7" s="30">
        <v>2</v>
      </c>
      <c r="C7" s="30">
        <v>4</v>
      </c>
      <c r="D7" s="30">
        <v>5</v>
      </c>
    </row>
    <row r="8" spans="1:4" ht="19.5" customHeight="1">
      <c r="A8" s="3" t="s">
        <v>246</v>
      </c>
      <c r="B8" s="23"/>
      <c r="C8" s="23"/>
      <c r="D8" s="23"/>
    </row>
    <row r="9" spans="1:4" ht="19.5" customHeight="1">
      <c r="A9" s="15" t="s">
        <v>247</v>
      </c>
      <c r="B9" s="66" t="s">
        <v>153</v>
      </c>
      <c r="C9" s="8">
        <v>451579977580</v>
      </c>
      <c r="D9" s="8">
        <v>567903201271</v>
      </c>
    </row>
    <row r="10" spans="1:4" ht="19.5" customHeight="1">
      <c r="A10" s="15" t="s">
        <v>248</v>
      </c>
      <c r="B10" s="66" t="s">
        <v>154</v>
      </c>
      <c r="C10" s="97">
        <v>-79016342450</v>
      </c>
      <c r="D10" s="97">
        <v>-114680472941</v>
      </c>
    </row>
    <row r="11" spans="1:4" ht="19.5" customHeight="1">
      <c r="A11" s="15" t="s">
        <v>249</v>
      </c>
      <c r="B11" s="66" t="s">
        <v>155</v>
      </c>
      <c r="C11" s="97">
        <v>-200939316522</v>
      </c>
      <c r="D11" s="97">
        <v>-230809332495</v>
      </c>
    </row>
    <row r="12" spans="1:4" ht="19.5" customHeight="1">
      <c r="A12" s="15" t="s">
        <v>250</v>
      </c>
      <c r="B12" s="66" t="s">
        <v>1116</v>
      </c>
      <c r="C12" s="97">
        <v>-2306811515</v>
      </c>
      <c r="D12" s="97">
        <v>-4326366554</v>
      </c>
    </row>
    <row r="13" spans="1:4" ht="19.5" customHeight="1">
      <c r="A13" s="15" t="s">
        <v>251</v>
      </c>
      <c r="B13" s="66" t="s">
        <v>156</v>
      </c>
      <c r="C13" s="97">
        <v>-2100000000</v>
      </c>
      <c r="D13" s="97">
        <v>-403599707</v>
      </c>
    </row>
    <row r="14" spans="1:4" ht="19.5" customHeight="1">
      <c r="A14" s="15" t="s">
        <v>252</v>
      </c>
      <c r="B14" s="66" t="s">
        <v>157</v>
      </c>
      <c r="C14" s="8">
        <v>21072503499</v>
      </c>
      <c r="D14" s="8">
        <v>1378418568</v>
      </c>
    </row>
    <row r="15" spans="1:4" ht="19.5" customHeight="1">
      <c r="A15" s="15" t="s">
        <v>253</v>
      </c>
      <c r="B15" s="66" t="s">
        <v>158</v>
      </c>
      <c r="C15" s="97">
        <v>-78254730869</v>
      </c>
      <c r="D15" s="97">
        <v>-180461461880</v>
      </c>
    </row>
    <row r="16" spans="1:4" ht="19.5" customHeight="1">
      <c r="A16" s="2" t="s">
        <v>254</v>
      </c>
      <c r="B16" s="14">
        <v>20</v>
      </c>
      <c r="C16" s="251">
        <f>C9+C10+C11+C12+C13+C14+C15</f>
        <v>110035279723</v>
      </c>
      <c r="D16" s="251">
        <f>D9+D10+D11+D12+D13+D14+D15</f>
        <v>38600386262</v>
      </c>
    </row>
    <row r="17" spans="1:4" ht="19.5" customHeight="1">
      <c r="A17" s="2" t="s">
        <v>255</v>
      </c>
      <c r="B17" s="26"/>
      <c r="C17" s="8"/>
      <c r="D17" s="8"/>
    </row>
    <row r="18" spans="1:4" ht="19.5" customHeight="1">
      <c r="A18" s="15" t="s">
        <v>563</v>
      </c>
      <c r="B18" s="26">
        <v>21</v>
      </c>
      <c r="C18" s="97">
        <v>-29969732820</v>
      </c>
      <c r="D18" s="97">
        <v>-39533732194</v>
      </c>
    </row>
    <row r="19" spans="1:4" ht="19.5" customHeight="1">
      <c r="A19" s="15" t="s">
        <v>564</v>
      </c>
      <c r="B19" s="26">
        <v>22</v>
      </c>
      <c r="C19" s="8">
        <v>32461100050</v>
      </c>
      <c r="D19" s="8">
        <v>15652095997</v>
      </c>
    </row>
    <row r="20" spans="1:4" ht="19.5" customHeight="1">
      <c r="A20" s="15" t="s">
        <v>565</v>
      </c>
      <c r="B20" s="26">
        <v>23</v>
      </c>
      <c r="C20" s="97">
        <v>-11125000000</v>
      </c>
      <c r="D20" s="97">
        <v>-15000000000</v>
      </c>
    </row>
    <row r="21" spans="1:4" ht="19.5" customHeight="1">
      <c r="A21" s="15" t="s">
        <v>566</v>
      </c>
      <c r="B21" s="26">
        <v>24</v>
      </c>
      <c r="C21" s="8">
        <v>7792508850</v>
      </c>
      <c r="D21" s="8">
        <v>24360000000</v>
      </c>
    </row>
    <row r="22" spans="1:4" ht="19.5" customHeight="1">
      <c r="A22" s="15" t="s">
        <v>665</v>
      </c>
      <c r="B22" s="26">
        <v>25</v>
      </c>
      <c r="C22" s="97">
        <v>-27550000000</v>
      </c>
      <c r="D22" s="97">
        <v>-16950000000</v>
      </c>
    </row>
    <row r="23" spans="1:4" ht="19.5" customHeight="1">
      <c r="A23" s="15" t="s">
        <v>567</v>
      </c>
      <c r="B23" s="26">
        <v>26</v>
      </c>
      <c r="C23" s="8">
        <v>0</v>
      </c>
      <c r="D23" s="8"/>
    </row>
    <row r="24" spans="1:8" ht="19.5" customHeight="1">
      <c r="A24" s="15" t="s">
        <v>568</v>
      </c>
      <c r="B24" s="26">
        <v>27</v>
      </c>
      <c r="C24" s="8">
        <v>2868210924</v>
      </c>
      <c r="D24" s="8">
        <v>3715346742</v>
      </c>
      <c r="H24" s="18"/>
    </row>
    <row r="25" spans="1:4" ht="19.5" customHeight="1">
      <c r="A25" s="2" t="s">
        <v>1117</v>
      </c>
      <c r="B25" s="14">
        <v>30</v>
      </c>
      <c r="C25" s="150">
        <f>C18+C19+C20+C21+C22+C23+C24</f>
        <v>-25522912996</v>
      </c>
      <c r="D25" s="150">
        <f>D18+D19+D20+D21+D22+D23+D24</f>
        <v>-27756289455</v>
      </c>
    </row>
    <row r="26" spans="1:4" ht="19.5" customHeight="1">
      <c r="A26" s="2" t="s">
        <v>1118</v>
      </c>
      <c r="B26" s="26"/>
      <c r="C26" s="8"/>
      <c r="D26" s="8"/>
    </row>
    <row r="27" spans="1:4" ht="19.5" customHeight="1">
      <c r="A27" s="15" t="s">
        <v>569</v>
      </c>
      <c r="B27" s="26">
        <v>31</v>
      </c>
      <c r="C27" s="8">
        <v>0</v>
      </c>
      <c r="D27" s="8">
        <v>0</v>
      </c>
    </row>
    <row r="28" spans="1:4" ht="19.5" customHeight="1">
      <c r="A28" s="15" t="s">
        <v>570</v>
      </c>
      <c r="B28" s="26"/>
      <c r="C28" s="8"/>
      <c r="D28" s="8"/>
    </row>
    <row r="29" spans="1:4" ht="19.5" customHeight="1">
      <c r="A29" s="15" t="s">
        <v>526</v>
      </c>
      <c r="B29" s="26">
        <v>32</v>
      </c>
      <c r="C29" s="68">
        <v>0</v>
      </c>
      <c r="D29" s="68">
        <v>0</v>
      </c>
    </row>
    <row r="30" spans="1:4" ht="19.5" customHeight="1">
      <c r="A30" s="15" t="s">
        <v>527</v>
      </c>
      <c r="B30" s="26">
        <v>33</v>
      </c>
      <c r="C30" s="8">
        <v>21863437117</v>
      </c>
      <c r="D30" s="8">
        <v>0</v>
      </c>
    </row>
    <row r="31" spans="1:4" ht="19.5" customHeight="1">
      <c r="A31" s="15" t="s">
        <v>528</v>
      </c>
      <c r="B31" s="26">
        <v>34</v>
      </c>
      <c r="C31" s="97">
        <v>-14788646459</v>
      </c>
      <c r="D31" s="97">
        <v>-13315059502</v>
      </c>
    </row>
    <row r="32" spans="1:4" ht="19.5" customHeight="1">
      <c r="A32" s="15" t="s">
        <v>529</v>
      </c>
      <c r="B32" s="26">
        <v>35</v>
      </c>
      <c r="C32" s="68">
        <v>0</v>
      </c>
      <c r="D32" s="68">
        <v>0</v>
      </c>
    </row>
    <row r="33" spans="1:4" ht="19.5" customHeight="1">
      <c r="A33" s="15" t="s">
        <v>530</v>
      </c>
      <c r="B33" s="26">
        <v>36</v>
      </c>
      <c r="C33" s="373">
        <v>-15052700000</v>
      </c>
      <c r="D33" s="97">
        <v>-148392700000</v>
      </c>
    </row>
    <row r="34" spans="1:4" ht="19.5" customHeight="1">
      <c r="A34" s="2" t="s">
        <v>489</v>
      </c>
      <c r="B34" s="14">
        <v>40</v>
      </c>
      <c r="C34" s="150">
        <f>C27+C29+C30+C31+C32+C33</f>
        <v>-7977909342</v>
      </c>
      <c r="D34" s="150">
        <f>D27+D29+D30+D31+D32+D33</f>
        <v>-161707759502</v>
      </c>
    </row>
    <row r="35" spans="1:4" ht="19.5" customHeight="1">
      <c r="A35" s="2" t="s">
        <v>1129</v>
      </c>
      <c r="B35" s="14">
        <v>50</v>
      </c>
      <c r="C35" s="150">
        <f>C16+C25+C34</f>
        <v>76534457385</v>
      </c>
      <c r="D35" s="150">
        <f>D16+D25+D34</f>
        <v>-150863662695</v>
      </c>
    </row>
    <row r="36" spans="1:4" ht="19.5" customHeight="1">
      <c r="A36" s="2" t="s">
        <v>531</v>
      </c>
      <c r="B36" s="14">
        <v>60</v>
      </c>
      <c r="C36" s="5">
        <f>'B 01-DN CD KETOAN (R)'!E11</f>
        <v>150076633193</v>
      </c>
      <c r="D36" s="5">
        <v>299674894861</v>
      </c>
    </row>
    <row r="37" spans="1:4" ht="19.5" customHeight="1">
      <c r="A37" s="15" t="s">
        <v>532</v>
      </c>
      <c r="B37" s="26">
        <v>61</v>
      </c>
      <c r="C37" s="97">
        <v>2829235685</v>
      </c>
      <c r="D37" s="97">
        <v>1265401027</v>
      </c>
    </row>
    <row r="38" spans="1:4" ht="19.5" customHeight="1">
      <c r="A38" s="2" t="s">
        <v>1130</v>
      </c>
      <c r="B38" s="14">
        <v>70</v>
      </c>
      <c r="C38" s="5">
        <f>C35+C36+C37</f>
        <v>229440326263</v>
      </c>
      <c r="D38" s="5">
        <f>D35+D36+D37</f>
        <v>150076633193</v>
      </c>
    </row>
    <row r="39" spans="1:4" ht="19.5" customHeight="1">
      <c r="A39" s="16"/>
      <c r="B39" s="16"/>
      <c r="C39" s="17">
        <f>C38-'B 01-DN CD KETOAN (R)'!D11</f>
        <v>0</v>
      </c>
      <c r="D39" s="17"/>
    </row>
    <row r="40" ht="15">
      <c r="D40" s="18"/>
    </row>
    <row r="41" spans="1:4" s="6" customFormat="1" ht="18">
      <c r="A41" s="258" t="s">
        <v>510</v>
      </c>
      <c r="C41" s="428" t="s">
        <v>546</v>
      </c>
      <c r="D41" s="428"/>
    </row>
    <row r="42" ht="17.25">
      <c r="C42" s="18"/>
    </row>
    <row r="43" ht="18">
      <c r="C43" s="62"/>
    </row>
    <row r="45" ht="17.25">
      <c r="D45" s="256"/>
    </row>
    <row r="47" ht="17.25">
      <c r="A47" s="12" t="s">
        <v>319</v>
      </c>
    </row>
  </sheetData>
  <mergeCells count="6">
    <mergeCell ref="C1:D1"/>
    <mergeCell ref="A4:D4"/>
    <mergeCell ref="A5:D5"/>
    <mergeCell ref="C41:D41"/>
    <mergeCell ref="C2:D2"/>
    <mergeCell ref="C3:D3"/>
  </mergeCells>
  <printOptions horizontalCentered="1"/>
  <pageMargins left="0" right="0" top="0.75" bottom="0.25" header="0" footer="0"/>
  <pageSetup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D20"/>
  <sheetViews>
    <sheetView workbookViewId="0" topLeftCell="A2">
      <selection activeCell="C18" sqref="C18"/>
    </sheetView>
  </sheetViews>
  <sheetFormatPr defaultColWidth="8.796875" defaultRowHeight="15"/>
  <cols>
    <col min="1" max="1" width="50.59765625" style="76" customWidth="1"/>
    <col min="2" max="2" width="9" style="76" customWidth="1"/>
    <col min="3" max="4" width="14.09765625" style="76" customWidth="1"/>
    <col min="5" max="16384" width="9" style="76" customWidth="1"/>
  </cols>
  <sheetData>
    <row r="1" spans="1:4" ht="22.5">
      <c r="A1" s="429" t="s">
        <v>642</v>
      </c>
      <c r="B1" s="429"/>
      <c r="C1" s="429"/>
      <c r="D1" s="429"/>
    </row>
    <row r="2" spans="1:4" ht="20.25">
      <c r="A2" s="430" t="s">
        <v>628</v>
      </c>
      <c r="B2" s="430"/>
      <c r="C2" s="430"/>
      <c r="D2" s="430"/>
    </row>
    <row r="4" spans="1:4" ht="23.25" customHeight="1">
      <c r="A4" s="181" t="s">
        <v>1036</v>
      </c>
      <c r="B4" s="181" t="s">
        <v>1102</v>
      </c>
      <c r="C4" s="181" t="s">
        <v>1104</v>
      </c>
      <c r="D4" s="181" t="s">
        <v>1103</v>
      </c>
    </row>
    <row r="5" spans="1:4" ht="20.25" customHeight="1">
      <c r="A5" s="147" t="s">
        <v>643</v>
      </c>
      <c r="B5" s="81" t="s">
        <v>605</v>
      </c>
      <c r="C5" s="185"/>
      <c r="D5" s="185"/>
    </row>
    <row r="6" spans="1:4" ht="20.25" customHeight="1">
      <c r="A6" s="75" t="s">
        <v>644</v>
      </c>
      <c r="B6" s="81"/>
      <c r="C6" s="248">
        <f>451636762665/663652746472*100</f>
        <v>68.0531746558597</v>
      </c>
      <c r="D6" s="248">
        <f>'B 01-DN CD KETOAN (R)'!D32/'B 01-DN CD KETOAN (R)'!D64*100</f>
        <v>61.41291741223818</v>
      </c>
    </row>
    <row r="7" spans="1:4" ht="20.25" customHeight="1">
      <c r="A7" s="75" t="s">
        <v>645</v>
      </c>
      <c r="B7" s="81"/>
      <c r="C7" s="248">
        <f>212015983807/663652746472*100</f>
        <v>31.94682534414029</v>
      </c>
      <c r="D7" s="248">
        <f>'B 01-DN CD KETOAN (R)'!D9/'B 01-DN CD KETOAN (R)'!D64*100</f>
        <v>38.58708258776183</v>
      </c>
    </row>
    <row r="8" spans="1:4" ht="20.25" customHeight="1">
      <c r="A8" s="147" t="s">
        <v>646</v>
      </c>
      <c r="B8" s="81" t="s">
        <v>605</v>
      </c>
      <c r="C8" s="248"/>
      <c r="D8" s="185"/>
    </row>
    <row r="9" spans="1:4" ht="20.25" customHeight="1">
      <c r="A9" s="75" t="s">
        <v>647</v>
      </c>
      <c r="B9" s="81"/>
      <c r="C9" s="248">
        <f>155733010952/663652746472*100</f>
        <v>23.466038795120166</v>
      </c>
      <c r="D9" s="248">
        <f>'B 01-DN CD KETOAN (R)'!D69/'B 01-DN CD KETOAN (R)'!D111*100</f>
        <v>19.981830644633067</v>
      </c>
    </row>
    <row r="10" spans="1:4" ht="20.25" customHeight="1">
      <c r="A10" s="75" t="s">
        <v>648</v>
      </c>
      <c r="B10" s="81"/>
      <c r="C10" s="248">
        <f>507919735520/663652746472*100</f>
        <v>76.53396120487983</v>
      </c>
      <c r="D10" s="248">
        <f>'B 01-DN CD KETOAN (R)'!D90/'B 01-DN CD KETOAN (R)'!D111*100</f>
        <v>80.01816935536694</v>
      </c>
    </row>
    <row r="11" spans="1:4" ht="20.25" customHeight="1">
      <c r="A11" s="147" t="s">
        <v>649</v>
      </c>
      <c r="B11" s="81" t="s">
        <v>650</v>
      </c>
      <c r="C11" s="185"/>
      <c r="D11" s="185"/>
    </row>
    <row r="12" spans="1:4" ht="20.25" customHeight="1">
      <c r="A12" s="75" t="s">
        <v>651</v>
      </c>
      <c r="B12" s="81"/>
      <c r="C12" s="248">
        <f>(212015983807-28215689139)/126620850639</f>
        <v>1.4515800023490633</v>
      </c>
      <c r="D12" s="248">
        <f>('B 01-DN CD KETOAN (R)'!D9-'B 01-DN CD KETOAN (R)'!D24)/'B 01-DN CD KETOAN (R)'!D71</f>
        <v>2.2189293887776933</v>
      </c>
    </row>
    <row r="13" spans="1:4" ht="20.25" customHeight="1">
      <c r="A13" s="75" t="s">
        <v>652</v>
      </c>
      <c r="B13" s="81"/>
      <c r="C13" s="248">
        <f>(212015983807)/126620850639</f>
        <v>1.674416043937852</v>
      </c>
      <c r="D13" s="176">
        <f>'B 01-DN CD KETOAN (R)'!D9/'B 01-DN CD KETOAN (R)'!D71</f>
        <v>2.5453373165227644</v>
      </c>
    </row>
    <row r="14" spans="1:4" ht="20.25" customHeight="1">
      <c r="A14" s="147" t="s">
        <v>653</v>
      </c>
      <c r="B14" s="81" t="s">
        <v>605</v>
      </c>
      <c r="C14" s="81"/>
      <c r="D14" s="81"/>
    </row>
    <row r="15" spans="1:4" ht="20.25" customHeight="1">
      <c r="A15" s="75" t="s">
        <v>654</v>
      </c>
      <c r="B15" s="81"/>
      <c r="C15" s="186">
        <f>'B 02-DN KQKD moi (R)'!G26/663652746472*100</f>
        <v>30.23866819655614</v>
      </c>
      <c r="D15" s="186">
        <f>'B 02-DN KQKD moi (R)'!E26/'B 01-DN CD KETOAN (R)'!D64*100</f>
        <v>20.01481945017919</v>
      </c>
    </row>
    <row r="16" spans="1:4" ht="20.25" customHeight="1">
      <c r="A16" s="75" t="s">
        <v>655</v>
      </c>
      <c r="B16" s="81"/>
      <c r="C16" s="186">
        <f>'B 02-DN KQKD moi (R)'!G26/('B 02-DN KQKD moi (R)'!G11+'B 02-DN KQKD moi (R)'!G14+'B 02-DN KQKD moi (R)'!G20)*100</f>
        <v>33.966062647959056</v>
      </c>
      <c r="D16" s="186">
        <f>'B 02-DN KQKD moi (R)'!E26/('B 02-DN KQKD moi (R)'!E11+'B 02-DN KQKD moi (R)'!E14+'B 02-DN KQKD moi (R)'!E20)*100</f>
        <v>32.2617669672545</v>
      </c>
    </row>
    <row r="17" spans="1:4" ht="20.25" customHeight="1">
      <c r="A17" s="75" t="s">
        <v>656</v>
      </c>
      <c r="B17" s="81"/>
      <c r="C17" s="186">
        <f>'B 02-DN KQKD moi (R)'!G26/507919735520*100</f>
        <v>39.51013082363246</v>
      </c>
      <c r="D17" s="186">
        <f>'B 02-DN KQKD moi (R)'!E26/'B 01-DN CD KETOAN (R)'!D90*100</f>
        <v>25.012843472201684</v>
      </c>
    </row>
    <row r="18" spans="1:4" ht="17.25">
      <c r="A18" s="80"/>
      <c r="B18" s="80"/>
      <c r="C18" s="80"/>
      <c r="D18" s="80"/>
    </row>
    <row r="20" spans="1:4" ht="18">
      <c r="A20" s="179" t="s">
        <v>657</v>
      </c>
      <c r="C20" s="431" t="s">
        <v>546</v>
      </c>
      <c r="D20" s="431"/>
    </row>
  </sheetData>
  <mergeCells count="3">
    <mergeCell ref="A1:D1"/>
    <mergeCell ref="A2:D2"/>
    <mergeCell ref="C20:D20"/>
  </mergeCells>
  <printOptions horizontalCentered="1"/>
  <pageMargins left="0.25" right="0.25" top="1"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SAIGON INFORMATICS COMPANY</dc:creator>
  <cp:keywords/>
  <dc:description/>
  <cp:lastModifiedBy>phuonglh</cp:lastModifiedBy>
  <cp:lastPrinted>2010-01-28T08:08:29Z</cp:lastPrinted>
  <dcterms:created xsi:type="dcterms:W3CDTF">2010-01-28T08:08:44Z</dcterms:created>
  <dcterms:modified xsi:type="dcterms:W3CDTF">2010-01-28T08:08:44Z</dcterms:modified>
  <cp:category/>
  <cp:version/>
  <cp:contentType/>
  <cp:contentStatus/>
</cp:coreProperties>
</file>